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8192" windowHeight="12276" tabRatio="731" activeTab="0"/>
  </bookViews>
  <sheets>
    <sheet name="APCo STATEMENT AF" sheetId="1" r:id="rId1"/>
    <sheet name="APCo STATEMENT AG" sheetId="2" r:id="rId2"/>
    <sheet name="I &amp; M STATEMENT AF" sheetId="3" r:id="rId3"/>
    <sheet name="I &amp; M STATEMENT AG" sheetId="4" r:id="rId4"/>
    <sheet name="KPCo STATEMENT AF" sheetId="5" r:id="rId5"/>
    <sheet name="KPCo STATEMENT AG" sheetId="6" r:id="rId6"/>
    <sheet name="KGPCo STATEMENT AF" sheetId="7" r:id="rId7"/>
    <sheet name="KGPCo STATEMENT AG" sheetId="8" r:id="rId8"/>
    <sheet name="OPCo STATEMENT AF" sheetId="9" r:id="rId9"/>
    <sheet name="OPCo STATEMENT AG" sheetId="10" r:id="rId10"/>
    <sheet name="WPCo STATEMENT AF" sheetId="11" r:id="rId11"/>
    <sheet name="WPCo STATEMENT AG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HEADA" localSheetId="1">#REF!</definedName>
    <definedName name="HEADA" localSheetId="2">'I &amp; M STATEMENT AF'!#REF!</definedName>
    <definedName name="HEADA" localSheetId="3">#REF!</definedName>
    <definedName name="HEADA" localSheetId="6">'KGPCo STATEMENT AF'!#REF!</definedName>
    <definedName name="HEADA" localSheetId="7">#REF!</definedName>
    <definedName name="HEADA" localSheetId="4">'KPCo STATEMENT AF'!#REF!</definedName>
    <definedName name="HEADA" localSheetId="8">'OPCo STATEMENT AF'!#REF!</definedName>
    <definedName name="HEADA" localSheetId="9">#REF!</definedName>
    <definedName name="HEADA" localSheetId="10">'WPCo STATEMENT AF'!#REF!</definedName>
    <definedName name="HEADA" localSheetId="11">#REF!</definedName>
    <definedName name="HEADA">'APCo STATEMENT AF'!#REF!</definedName>
    <definedName name="HEADB" localSheetId="1">'APCo STATEMENT AG'!#REF!</definedName>
    <definedName name="HEADB" localSheetId="2">#REF!</definedName>
    <definedName name="HEADB" localSheetId="3">'I &amp; M STATEMENT AG'!#REF!</definedName>
    <definedName name="HEADB" localSheetId="6">#REF!</definedName>
    <definedName name="HEADB" localSheetId="7">'KGPCo STATEMENT AG'!#REF!</definedName>
    <definedName name="HEADB" localSheetId="5">'KPCo STATEMENT AG'!#REF!</definedName>
    <definedName name="HEADB" localSheetId="8">#REF!</definedName>
    <definedName name="HEADB" localSheetId="9">'OPCo STATEMENT AG'!#REF!</definedName>
    <definedName name="HEADB" localSheetId="10">#REF!</definedName>
    <definedName name="HEADB" localSheetId="11">'WPCo STATEMENT AG'!#REF!</definedName>
    <definedName name="HEADB">#REF!</definedName>
    <definedName name="HEADC" localSheetId="1">#REF!</definedName>
    <definedName name="HEADC" localSheetId="2">#REF!</definedName>
    <definedName name="HEADC" localSheetId="3">#REF!</definedName>
    <definedName name="HEADC" localSheetId="6">#REF!</definedName>
    <definedName name="HEADC" localSheetId="7">#REF!</definedName>
    <definedName name="HEADC" localSheetId="8">#REF!</definedName>
    <definedName name="HEADC" localSheetId="9">#REF!</definedName>
    <definedName name="HEADC" localSheetId="10">#REF!</definedName>
    <definedName name="HEADC" localSheetId="11">#REF!</definedName>
    <definedName name="HEADC">#REF!</definedName>
    <definedName name="HEADD" localSheetId="1">#REF!</definedName>
    <definedName name="HEADD" localSheetId="2">#REF!</definedName>
    <definedName name="HEADD" localSheetId="3">#REF!</definedName>
    <definedName name="HEADD" localSheetId="6">#REF!</definedName>
    <definedName name="HEADD" localSheetId="7">#REF!</definedName>
    <definedName name="HEADD" localSheetId="8">#REF!</definedName>
    <definedName name="HEADD" localSheetId="9">#REF!</definedName>
    <definedName name="HEADD" localSheetId="10">#REF!</definedName>
    <definedName name="HEADD" localSheetId="11">#REF!</definedName>
    <definedName name="HEADD">#REF!</definedName>
    <definedName name="PAGEA" localSheetId="1">#REF!</definedName>
    <definedName name="PAGEA" localSheetId="2">'I &amp; M STATEMENT AF'!#REF!</definedName>
    <definedName name="PAGEA" localSheetId="3">#REF!</definedName>
    <definedName name="PAGEA" localSheetId="6">'KGPCo STATEMENT AF'!#REF!</definedName>
    <definedName name="PAGEA" localSheetId="7">#REF!</definedName>
    <definedName name="PAGEA" localSheetId="4">'KPCo STATEMENT AF'!#REF!</definedName>
    <definedName name="PAGEA" localSheetId="8">'OPCo STATEMENT AF'!#REF!</definedName>
    <definedName name="PAGEA" localSheetId="9">#REF!</definedName>
    <definedName name="PAGEA" localSheetId="10">'WPCo STATEMENT AF'!#REF!</definedName>
    <definedName name="PAGEA" localSheetId="11">#REF!</definedName>
    <definedName name="PAGEA">'APCo STATEMENT AF'!#REF!</definedName>
    <definedName name="PAGEB" localSheetId="1">'APCo STATEMENT AG'!#REF!</definedName>
    <definedName name="PAGEB" localSheetId="2">#REF!</definedName>
    <definedName name="PAGEB" localSheetId="3">'I &amp; M STATEMENT AG'!#REF!</definedName>
    <definedName name="PAGEB" localSheetId="6">#REF!</definedName>
    <definedName name="PAGEB" localSheetId="7">'KGPCo STATEMENT AG'!#REF!</definedName>
    <definedName name="PAGEB" localSheetId="5">'KPCo STATEMENT AG'!#REF!</definedName>
    <definedName name="PAGEB" localSheetId="8">#REF!</definedName>
    <definedName name="PAGEB" localSheetId="9">'OPCo STATEMENT AG'!#REF!</definedName>
    <definedName name="PAGEB" localSheetId="10">#REF!</definedName>
    <definedName name="PAGEB" localSheetId="11">'WPCo STATEMENT AG'!#REF!</definedName>
    <definedName name="PAGEB">#REF!</definedName>
    <definedName name="PAGEC" localSheetId="1">#REF!</definedName>
    <definedName name="PAGEC" localSheetId="2">#REF!</definedName>
    <definedName name="PAGEC" localSheetId="3">#REF!</definedName>
    <definedName name="PAGEC" localSheetId="6">#REF!</definedName>
    <definedName name="PAGEC" localSheetId="7">#REF!</definedName>
    <definedName name="PAGEC" localSheetId="8">#REF!</definedName>
    <definedName name="PAGEC" localSheetId="9">#REF!</definedName>
    <definedName name="PAGEC" localSheetId="10">#REF!</definedName>
    <definedName name="PAGEC" localSheetId="11">#REF!</definedName>
    <definedName name="PAGEC">#REF!</definedName>
    <definedName name="PAGED" localSheetId="1">#REF!</definedName>
    <definedName name="PAGED" localSheetId="2">#REF!</definedName>
    <definedName name="PAGED" localSheetId="3">#REF!</definedName>
    <definedName name="PAGED" localSheetId="6">#REF!</definedName>
    <definedName name="PAGED" localSheetId="7">#REF!</definedName>
    <definedName name="PAGED" localSheetId="8">#REF!</definedName>
    <definedName name="PAGED" localSheetId="9">#REF!</definedName>
    <definedName name="PAGED" localSheetId="10">#REF!</definedName>
    <definedName name="PAGED" localSheetId="11">#REF!</definedName>
    <definedName name="PAGED">#REF!</definedName>
    <definedName name="_xlnm.Print_Area" localSheetId="0">'APCo STATEMENT AF'!#REF!</definedName>
    <definedName name="_xlnm.Print_Area" localSheetId="1">'APCo STATEMENT AG'!#REF!</definedName>
    <definedName name="_xlnm.Print_Area" localSheetId="2">'I &amp; M STATEMENT AF'!#REF!</definedName>
    <definedName name="_xlnm.Print_Area" localSheetId="3">'I &amp; M STATEMENT AG'!#REF!</definedName>
    <definedName name="_xlnm.Print_Area" localSheetId="6">'KGPCo STATEMENT AF'!#REF!</definedName>
    <definedName name="_xlnm.Print_Area" localSheetId="7">'KGPCo STATEMENT AG'!#REF!</definedName>
    <definedName name="_xlnm.Print_Area" localSheetId="4">'KPCo STATEMENT AF'!#REF!</definedName>
    <definedName name="_xlnm.Print_Area" localSheetId="5">'KPCo STATEMENT AG'!#REF!</definedName>
    <definedName name="_xlnm.Print_Area" localSheetId="8">'OPCo STATEMENT AF'!#REF!</definedName>
    <definedName name="_xlnm.Print_Area" localSheetId="9">'OPCo STATEMENT AG'!#REF!</definedName>
    <definedName name="_xlnm.Print_Area" localSheetId="10">'WPCo STATEMENT AF'!#REF!</definedName>
    <definedName name="_xlnm.Print_Area" localSheetId="11">'WPCo STATEMENT AG'!#REF!</definedName>
    <definedName name="_xlnm.Print_Titles" localSheetId="0">'APCo STATEMENT AF'!$A:$B,'APCo STATEMENT AF'!#REF!</definedName>
    <definedName name="_xlnm.Print_Titles" localSheetId="1">'APCo STATEMENT AG'!$A:$B,'APCo STATEMENT AG'!#REF!</definedName>
    <definedName name="_xlnm.Print_Titles" localSheetId="2">'I &amp; M STATEMENT AF'!$A:$B,'I &amp; M STATEMENT AF'!#REF!</definedName>
    <definedName name="_xlnm.Print_Titles" localSheetId="3">'I &amp; M STATEMENT AG'!$A:$B,'I &amp; M STATEMENT AG'!#REF!</definedName>
    <definedName name="_xlnm.Print_Titles" localSheetId="6">'KGPCo STATEMENT AF'!$A:$B,'KGPCo STATEMENT AF'!#REF!</definedName>
    <definedName name="_xlnm.Print_Titles" localSheetId="7">'KGPCo STATEMENT AG'!$A:$B,'KGPCo STATEMENT AG'!#REF!</definedName>
    <definedName name="_xlnm.Print_Titles" localSheetId="4">'KPCo STATEMENT AF'!$A:$B,'KPCo STATEMENT AF'!#REF!</definedName>
    <definedName name="_xlnm.Print_Titles" localSheetId="5">'KPCo STATEMENT AG'!$A:$B,'KPCo STATEMENT AG'!#REF!</definedName>
    <definedName name="_xlnm.Print_Titles" localSheetId="8">'OPCo STATEMENT AF'!$A:$C,'OPCo STATEMENT AF'!#REF!</definedName>
    <definedName name="_xlnm.Print_Titles" localSheetId="9">'OPCo STATEMENT AG'!$A:$B,'OPCo STATEMENT AG'!#REF!</definedName>
    <definedName name="_xlnm.Print_Titles" localSheetId="10">'WPCo STATEMENT AF'!$A:$B,'WPCo STATEMENT AF'!#REF!</definedName>
    <definedName name="_xlnm.Print_Titles" localSheetId="11">'WPCo STATEMENT AG'!$A:$B,'WPCo STATEMENT AG'!#REF!</definedName>
  </definedNames>
  <calcPr fullCalcOnLoad="1"/>
</workbook>
</file>

<file path=xl/comments2.xml><?xml version="1.0" encoding="utf-8"?>
<comments xmlns="http://schemas.openxmlformats.org/spreadsheetml/2006/main">
  <authors>
    <author>Kathleen G Silcott</author>
    <author>Mike Kelly</author>
  </authors>
  <commentList>
    <comment ref="C17" authorId="0">
      <text>
        <r>
          <rPr>
            <b/>
            <sz val="8"/>
            <rFont val="Tahoma"/>
            <family val="2"/>
          </rPr>
          <t>Kathleen G Silcott:</t>
        </r>
        <r>
          <rPr>
            <sz val="8"/>
            <rFont val="Tahoma"/>
            <family val="2"/>
          </rPr>
          <t xml:space="preserve">
Reclassification of NOL from 236 account to 190.1 account was done on elimination company.</t>
        </r>
      </text>
    </comment>
    <comment ref="M17" authorId="1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</t>
        </r>
      </text>
    </comment>
  </commentList>
</comments>
</file>

<file path=xl/comments4.xml><?xml version="1.0" encoding="utf-8"?>
<comments xmlns="http://schemas.openxmlformats.org/spreadsheetml/2006/main">
  <authors>
    <author>Mike Kelly</author>
  </authors>
  <commentList>
    <comment ref="V17" authorId="0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</t>
        </r>
      </text>
    </comment>
    <comment ref="X17" authorId="0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</t>
        </r>
      </text>
    </comment>
  </commentList>
</comments>
</file>

<file path=xl/comments8.xml><?xml version="1.0" encoding="utf-8"?>
<comments xmlns="http://schemas.openxmlformats.org/spreadsheetml/2006/main">
  <authors>
    <author>Kathleen G Silcott</author>
    <author>Mike Kelly</author>
  </authors>
  <commentList>
    <comment ref="D17" authorId="0">
      <text>
        <r>
          <rPr>
            <b/>
            <sz val="8"/>
            <rFont val="Tahoma"/>
            <family val="2"/>
          </rPr>
          <t>Kathleen G Silcott: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Taxable income for Trans and Taxable loss for Dist</t>
        </r>
      </text>
    </comment>
    <comment ref="S17" authorId="1">
      <text>
        <r>
          <rPr>
            <b/>
            <sz val="8"/>
            <rFont val="Tahoma"/>
            <family val="2"/>
          </rPr>
          <t>Mike Kelly:</t>
        </r>
        <r>
          <rPr>
            <sz val="8"/>
            <rFont val="Tahoma"/>
            <family val="2"/>
          </rPr>
          <t xml:space="preserve">
Reclassification of NOL from 236 account to 190.1 account was done on elimination company.  Taxable income for Trans and Taxable loss for Dist</t>
        </r>
      </text>
    </comment>
  </commentList>
</comments>
</file>

<file path=xl/sharedStrings.xml><?xml version="1.0" encoding="utf-8"?>
<sst xmlns="http://schemas.openxmlformats.org/spreadsheetml/2006/main" count="1649" uniqueCount="659">
  <si>
    <t>APPALACHIAN POWER COMPANY</t>
  </si>
  <si>
    <t>SPECIFIED DEFERRED CREDITS</t>
  </si>
  <si>
    <t>(DEBIT)  CREDIT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</si>
  <si>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</si>
  <si>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</si>
  <si>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</si>
  <si>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</si>
  <si>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</si>
  <si>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</si>
  <si>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</si>
  <si>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</si>
  <si>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</si>
  <si>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</si>
  <si>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</si>
  <si>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</si>
  <si>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</si>
  <si>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</si>
  <si>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</si>
  <si>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PER BOOKS</t>
  </si>
  <si>
    <t>NON-APPLICABLE/NON-UTILITY</t>
  </si>
  <si>
    <t>AVERAGE</t>
  </si>
  <si>
    <t>FUNCTIONALIZATION AVERAGE</t>
  </si>
  <si>
    <t xml:space="preserve">ELECTRIC </t>
  </si>
  <si>
    <t>BALANCE AS</t>
  </si>
  <si>
    <t>UTILITY</t>
  </si>
  <si>
    <t>ACCUMULATED DEFERRED FIT ITEMS</t>
  </si>
  <si>
    <t>(B+C+D+E)/2</t>
  </si>
  <si>
    <t>GENERATION</t>
  </si>
  <si>
    <t>TRANSMISSION</t>
  </si>
  <si>
    <t>DISTRIBUTION</t>
  </si>
  <si>
    <t>ACCOUNT 281:</t>
  </si>
  <si>
    <t>TX AMORT POLLUTION CONT EQPT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</si>
  <si>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</si>
  <si>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</si>
  <si>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</si>
  <si>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</si>
  <si>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</si>
  <si>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BOOK VS. TAX DEPRECIATION</t>
  </si>
  <si>
    <t>FERC ORDER 144 CATCH UP</t>
  </si>
  <si>
    <t>R &amp; D DEDUCTION - SECTION 174</t>
  </si>
  <si>
    <t>MNTR CARBON CAPTURE - SFAS 143 - ARO</t>
  </si>
  <si>
    <t>DFIT GENERATION PLANT</t>
  </si>
  <si>
    <t>GAIN/LOSS ON ACRS/MACRS PROPERTY</t>
  </si>
  <si>
    <t>ABFUDC</t>
  </si>
  <si>
    <t>ABFUDC - TRANSMISSION</t>
  </si>
  <si>
    <t>ABFUDC - GENERAL</t>
  </si>
  <si>
    <t>ABFUDC - DISTRIBUTION</t>
  </si>
  <si>
    <t>SEC 481 PENS/OPEB ADJUSTMENT</t>
  </si>
  <si>
    <t>PERCENT REPAIR ALLOWANCE</t>
  </si>
  <si>
    <t>BOOK/TAX UNIT OF PROPERTY ADJ</t>
  </si>
  <si>
    <t>BK/TAX UNIT OF PROPERTY ADJ-SEC 481 ADJ</t>
  </si>
  <si>
    <t>CAPITALIZED RELOCATION COSTS</t>
  </si>
  <si>
    <t>EXTRAORDINARY LOSS ON DISP OF PROP</t>
  </si>
  <si>
    <t>DEFD TAX GAIN - FIBER OPTIC LINE</t>
  </si>
  <si>
    <t>AMORT PERPETUAL TERM ELECT PLT</t>
  </si>
  <si>
    <t>CAPITALIZED LEASES - A/C 1011 ASSETS</t>
  </si>
  <si>
    <t>GAIN ON REACQUIRED DEBT</t>
  </si>
  <si>
    <t>REMOVAL COSTS</t>
  </si>
  <si>
    <t>REMOVAL COSTS - ARO-MTNR CARBON CAPTURE</t>
  </si>
  <si>
    <t>REMOVAL COSTS REV - SFAS 143 - ARO</t>
  </si>
  <si>
    <t>TAX WRITE OFF MINE DEVEL COSTS</t>
  </si>
  <si>
    <t>BK DEPLETION -- NUEAST</t>
  </si>
  <si>
    <t>2007 IRS AUDIT ADJUSTMENTS - A/C 282</t>
  </si>
  <si>
    <t>SFAS 109 FLOW-THRU 282.3</t>
  </si>
  <si>
    <t>SFAS 109 EXCESS DFIT 282.4</t>
  </si>
  <si>
    <t>TOTAL ACOUNT 282</t>
  </si>
  <si>
    <t>ACCOUNT 283:</t>
  </si>
  <si>
    <t xml:space="preserve"> </t>
  </si>
  <si>
    <t>NOL - STATE C/F - DEF STATE TAX ASSET - L/T</t>
  </si>
  <si>
    <t>SW - UNDER RECOVERY FUEL COST</t>
  </si>
  <si>
    <t>SV - UNDER RECOVERY FUEL COST</t>
  </si>
  <si>
    <t>WV -ENEC UNDER RECOVERY BANK</t>
  </si>
  <si>
    <t>DEFD EQUITY CARRY CHGS - WV-ENEC</t>
  </si>
  <si>
    <t>WV UNRECOV FUEL POOL CAPACITY IMPACT</t>
  </si>
  <si>
    <t>WV CENTURY ENEC UNDER RECOVERY</t>
  </si>
  <si>
    <t>PROPERTY TAX - NEW METHOD - BOOK</t>
  </si>
  <si>
    <t>MTM BK GAIN - A/L - TAX DEFL</t>
  </si>
  <si>
    <t>MARK &amp; SPREAD-DEFL-283-A/L</t>
  </si>
  <si>
    <t>ACCRUED BK PENSION EXPENSE</t>
  </si>
  <si>
    <t>ACCRUED BK PENSION COSTS - SFAS 158</t>
  </si>
  <si>
    <t>DEFD SYS RELIABILITY COSTS &amp; CARRYING CHARGES</t>
  </si>
  <si>
    <t>DEFD EQUITY CARRY CHRGS-RELIABILITY CAPITAL</t>
  </si>
  <si>
    <t>DEFD STORM DAMAGE</t>
  </si>
  <si>
    <t>DEFD TAX GAIN - EPA AUCTION</t>
  </si>
  <si>
    <t>BK DEFL - MACSS COSTS</t>
  </si>
  <si>
    <t>TRANSITION REGULATORY ASSETS</t>
  </si>
  <si>
    <t>REG ASSET - SFAS 158 - PENSIONS</t>
  </si>
  <si>
    <t>TAX DEFL - NON-DEPRECIABLES</t>
  </si>
  <si>
    <t>REG ASSET-DEFD SEVERANCE COSTS</t>
  </si>
  <si>
    <t>REG ASSET-TRANS AGREEMENT PHASE-IN-WV</t>
  </si>
  <si>
    <t>REG ASSET-DEFD VA WIND REPLACEMENT CSTS</t>
  </si>
  <si>
    <t>REG ASSET-NET CCS FEED STUDY COSTS</t>
  </si>
  <si>
    <t>REG ASSET-DEFD VA DEMAND RESPONSE PROGRAM</t>
  </si>
  <si>
    <t>REG ASSET DRESDEN UNRECOG EQUITY CC WV</t>
  </si>
  <si>
    <t>REG ASSET DRESDEN OPERATION COST VA</t>
  </si>
  <si>
    <t>REG ASSET DRESDEN CARRYING COSTS VA</t>
  </si>
  <si>
    <t>REG ASSET DRESDEN UNRECOG EQUITY CC VA</t>
  </si>
  <si>
    <t>REG ASSET DRESDEN CARRYING COST WV</t>
  </si>
  <si>
    <t>REG ASSET DRESDEN OPERATING COSTS WV</t>
  </si>
  <si>
    <t>REG ASSET-DEFERRED VA RPS INCREM COSTS-CURRENT</t>
  </si>
  <si>
    <t>REG ASSET-DEFERRED VA WIND NON-INCREM COSTS</t>
  </si>
  <si>
    <t>REG ASSET-DEFD VA SOFTWARE LICENSING EXPENSE</t>
  </si>
  <si>
    <t>BOOK LEASES CAPITALIZED FOR TAX</t>
  </si>
  <si>
    <t>LOSS ON REACQUIRED DEBT</t>
  </si>
  <si>
    <t>DEFD SFAS 106 BOOK COSTS</t>
  </si>
  <si>
    <t>REG ASSET - ACCRUED SFAS 112</t>
  </si>
  <si>
    <t>STATE NOL CURRENT BENEFIT</t>
  </si>
  <si>
    <t>SFAS 109 FLOW-THRU 283.3</t>
  </si>
  <si>
    <t>SFAS 109 EXCESS DFIT 283.4</t>
  </si>
  <si>
    <t>ADIT FED - HEDGE-INTEREST RATE 2830015</t>
  </si>
  <si>
    <t>ADIT FED - HEDGE-FOREIGN EXC 2830016</t>
  </si>
  <si>
    <t>SFAS 133 ADIT FED - SFAS 133 NONAFFIL 2830006</t>
  </si>
  <si>
    <t>DEFD STATE INCOME TAXES</t>
  </si>
  <si>
    <t>SFAS 109 - DEFD STATE INCOME TAXES</t>
  </si>
  <si>
    <t>TOTAL ACCOUNT 283</t>
  </si>
  <si>
    <t>JURISDICTIONAL AMOUNTS FUNCTIONALIZED</t>
  </si>
  <si>
    <t>TOTAL COMPANY AMOUNTS FUNCTIONALIZED</t>
  </si>
  <si>
    <t>REFUNCTIONALIZED BASED ON JURISDICTIONAL PLANT</t>
  </si>
  <si>
    <t>NOTE:  POST 1970 ACCUMULATED DEFERRED</t>
  </si>
  <si>
    <t xml:space="preserve">             INV TAX CRED. (JDITC) IN A/C 255</t>
  </si>
  <si>
    <t>SEC ALLOC - ITC - 46F1 - 10%</t>
  </si>
  <si>
    <t xml:space="preserve">HYDRO CREDIT - ITC - 46F1 </t>
  </si>
  <si>
    <t>TOTAL ACCOUNT 255</t>
  </si>
  <si>
    <t>ACCUMULATED DEFERRED INCOME TAX IN ACCOUNT 190</t>
  </si>
  <si>
    <t>DEBIT  (CREDIT)</t>
  </si>
  <si>
    <t>ACCOUNT 190:</t>
  </si>
  <si>
    <t>NOL &amp; TAX CREDIT C/F - DEF TAX ASSET</t>
  </si>
  <si>
    <t>INT EXP CAPITALIZED FOR TAX</t>
  </si>
  <si>
    <t xml:space="preserve">CIAC-BOOK RECEIPTS </t>
  </si>
  <si>
    <t>CIAC-BOOK RECEIPTS - DISTR - SV</t>
  </si>
  <si>
    <t>CIAC-BOOK RECEIPTS - TRANS</t>
  </si>
  <si>
    <t>CIAC-BOOK RECEIPTS - DISTR - SW</t>
  </si>
  <si>
    <t>CIAC - MUSSER ACQUISITION</t>
  </si>
  <si>
    <t>SW - OVER RECOVERY FUEL COSTS</t>
  </si>
  <si>
    <t>SV - OVER RECOVERY FUEL COSTS</t>
  </si>
  <si>
    <t>PROVS POSS REV REFDS</t>
  </si>
  <si>
    <t>SALE/LEASE - GRUNDY</t>
  </si>
  <si>
    <t>MTM BK LOSS - A/L - TAX DEFL</t>
  </si>
  <si>
    <t>MARK &amp; SPREAD-DEFL-190-A/L</t>
  </si>
  <si>
    <t>PROV WORKERS COMP</t>
  </si>
  <si>
    <t>SUPPLEMENTAL EXECUTIVE RETIRE PLAN</t>
  </si>
  <si>
    <t>ACCD SUP EXEC RETIR PLAN COSTS-SFAS 158</t>
  </si>
  <si>
    <t>ACCRD BK SUP. SAVINGS PLAN EXP</t>
  </si>
  <si>
    <t>EMPLOYER SAVINGS PLAN MATCH</t>
  </si>
  <si>
    <t>ACCRUED PSI PLAN EXP</t>
  </si>
  <si>
    <t>BK PROV UNCOLL ACCTS</t>
  </si>
  <si>
    <t>PROV - TRADING CREDIT RISK - A/L</t>
  </si>
  <si>
    <t>PROV - FAS 157 - A/L</t>
  </si>
  <si>
    <t>ACCRD COMPANYWIDE INCENTV PLAN</t>
  </si>
  <si>
    <t>ACCRUED ENVIRONMENTAL LIAB-CURRENT</t>
  </si>
  <si>
    <t>ACCRUED BOOK VACATION PAY</t>
  </si>
  <si>
    <t>ACCRUED MGMT INCENTIVE BONUS</t>
  </si>
  <si>
    <t>ACCRUED BK SEVERANCE BENEFITS</t>
  </si>
  <si>
    <t>ACCRUED INTEREST EXPENSE - STATE</t>
  </si>
  <si>
    <t>ACCRUED INTEREST-LONG-TERM - FIN 48</t>
  </si>
  <si>
    <t>ACCRUED INTEREST-SHORT-TERM - FIN 48</t>
  </si>
  <si>
    <t>ACCRUED STATE INCOME TAX EXPENSE</t>
  </si>
  <si>
    <t>BK DFL RAIL TRANS REV/EXP</t>
  </si>
  <si>
    <t>ACCRUED RTO CARRYING CHARGES</t>
  </si>
  <si>
    <t>DEFD EQUITY CARRYING CHRGS-ENVIRON COMP COSTS</t>
  </si>
  <si>
    <t>FEDERAL MITIGATION PROGRAMS</t>
  </si>
  <si>
    <t xml:space="preserve">STATE MITIGATION PROGRAMS </t>
  </si>
  <si>
    <t>DEFD REV-EPRI/MNTR CARBON CAPTURE-CUR</t>
  </si>
  <si>
    <t>DEFD REV-EPRI/MNTR CARBON CAPTURE-L/T</t>
  </si>
  <si>
    <t>DEFD BK CONTRACT REVENUE</t>
  </si>
  <si>
    <t>DEFD STORM DAMAGES</t>
  </si>
  <si>
    <t>FK BK WRITE-OFF BLUE RIDGE EASE</t>
  </si>
  <si>
    <t>FR BK WRITE-OFF BLUE RIDGE EASE</t>
  </si>
  <si>
    <t>SV BK WRITE-OFF BLUE RIDGE EASE</t>
  </si>
  <si>
    <t>CV BK WRITE-OFF BLUE RIDGE EASE</t>
  </si>
  <si>
    <t>DEFD TX LOSS-INTERCO SALE-EMA</t>
  </si>
  <si>
    <t>DEFD BOOK GAIN - EPA AUCTION</t>
  </si>
  <si>
    <t>ADVANCE RENTAL INC (CUR MO)</t>
  </si>
  <si>
    <t>DEFERRED BOOK RENTS</t>
  </si>
  <si>
    <t>REG - LIAB - UNREAL MTM GAIN - DEFL</t>
  </si>
  <si>
    <t>CAPITALIZED SOFTWARE COSTS - TAX</t>
  </si>
  <si>
    <t>CAPITALIZED ADVERTISING EXP - TAX</t>
  </si>
  <si>
    <t>ACCRD SFAS 106 PST RETIRE EXP</t>
  </si>
  <si>
    <t>SFAS 106 PST RETIRE EXP - NON-DEDUCT CONT</t>
  </si>
  <si>
    <t>ACCRD OPEB COSTS - SFAS 158</t>
  </si>
  <si>
    <t>ACCRD SFAS 112 EMPLOY BEN</t>
  </si>
  <si>
    <t>ACCRD BOOK ARO EXPENSE-SFAS 143</t>
  </si>
  <si>
    <t>SFAS 106 - MEDICARE SUBSIDY-NORM-(PPACA)</t>
  </si>
  <si>
    <t>ACCRD BK ARO EXP-MTNR CARBON CAPTURE</t>
  </si>
  <si>
    <t>ACCRUED BK REMOVAL COST - ACRS</t>
  </si>
  <si>
    <t>FIN 48 - DEFD STATE INCOME TAXES</t>
  </si>
  <si>
    <t>ACCRD SIT/FRANCHISE TAX RESERVE</t>
  </si>
  <si>
    <t>ACCRUED SALES &amp; USE TAX RESERVE</t>
  </si>
  <si>
    <t>ACCRD SIT TX RES-LNG-TERM-FIN 48</t>
  </si>
  <si>
    <t>ACCRD SIT TX RES-SHORT-TERM-FIN 48</t>
  </si>
  <si>
    <t>SFAS 109 - DEFD SIT LIABILITY</t>
  </si>
  <si>
    <t>1985-1987 IRS AUDIT SETTLEMENT</t>
  </si>
  <si>
    <t>1991-1996 IRS AUDIT SETTLEMENT</t>
  </si>
  <si>
    <t>1997-2003 IRS AUDIT SETTLEMENT</t>
  </si>
  <si>
    <t>2007 IRS AUDIT ADJUSTMENTS - A/C 190</t>
  </si>
  <si>
    <t>IRS CAPITALIZATION ADJUSTMENT</t>
  </si>
  <si>
    <t>AMT CREDIT DEFERRED</t>
  </si>
  <si>
    <t>SFAS 109 FLOW-THRU 190.3</t>
  </si>
  <si>
    <t>SFAS 109 EXCESS DFIT 190.4</t>
  </si>
  <si>
    <t>SFAS 133 ADIT FED - SFAS NONAFFIL 1900006</t>
  </si>
  <si>
    <t>ADIT FED - PENSION OCI NAF 1900009</t>
  </si>
  <si>
    <t>ADIT FED - HEDGE-INTEREST RATE 1900015</t>
  </si>
  <si>
    <t>ADIT FED - HEDGE-FOREIGN EXC 1900016</t>
  </si>
  <si>
    <t>DEFERRED SIT  1901002</t>
  </si>
  <si>
    <t>TOTAL ACCOUNT 190</t>
  </si>
  <si>
    <t>INDIANA MICHIGAN POWER COMPANY</t>
  </si>
  <si>
    <t>COLUMN P</t>
  </si>
  <si>
    <t>COLUMN Q</t>
  </si>
  <si>
    <t>COLUMN R</t>
  </si>
  <si>
    <t>COLUMN S</t>
  </si>
  <si>
    <t>COLUMN T</t>
  </si>
  <si>
    <t>COLUMN U</t>
  </si>
  <si>
    <t>NUCLEAR</t>
  </si>
  <si>
    <t>RTD</t>
  </si>
  <si>
    <t>EX L/T DFIT TX RESRV-SNF</t>
  </si>
  <si>
    <t>FERC - MPCO DEFD FIT @ MERGER</t>
  </si>
  <si>
    <t>FIT % RATE CHANGE-LD</t>
  </si>
  <si>
    <t>CAPD INTEREST - SECTION 481(a) - CHANGE IN METHD</t>
  </si>
  <si>
    <t>RELOCATION COST - SECTION 481(a) - CHANGE IN METH</t>
  </si>
  <si>
    <t>PJM INTEGRATION - SEC 481(a) - INTANG - DFD LABOR</t>
  </si>
  <si>
    <t>BK PLANT IN SERVICE-SFAS 143-ARO</t>
  </si>
  <si>
    <t>GAIN/LOSS ON ACRS/MACRS-BK/TX UNIT PROP</t>
  </si>
  <si>
    <t>ABFUDC-NUCLEAR FUEL</t>
  </si>
  <si>
    <t>ABFUDC - ROCKPORT SPARE PARTS</t>
  </si>
  <si>
    <t>ABFUDC-RKPRT-SULL EHV</t>
  </si>
  <si>
    <t>ABFUDC - ROCKPORT UNIT 1</t>
  </si>
  <si>
    <t>ABFUDC - ROCKPORT UNIT 2</t>
  </si>
  <si>
    <t>ABFUDC- RKPRT-JEFF EHV</t>
  </si>
  <si>
    <t>ABFUDC-RKPRT PC U1</t>
  </si>
  <si>
    <t>ABFUDC - COOK PLANT/U2 STEAM GNR</t>
  </si>
  <si>
    <t>INVOL CONV RKPT U1-TURBINE</t>
  </si>
  <si>
    <t>INVOL CONV RKPT U1-ASH HOPPER</t>
  </si>
  <si>
    <t>TAXES CAPITALIZED</t>
  </si>
  <si>
    <t>TAXES CAPITALIZED-ROCKPORT SPARE PARTS</t>
  </si>
  <si>
    <t>TAXES CAPITALIZED-RKPRT-SULL EHV</t>
  </si>
  <si>
    <t>TAXES CAPITALIZED - ROCKPORT UNIT 1</t>
  </si>
  <si>
    <t>TAXES CAPITALIZED - ROCKPORT UNIT 2</t>
  </si>
  <si>
    <t>TAXES CAPITALIZED-RKPRT-JEFF EHV</t>
  </si>
  <si>
    <t>PENSIONS CAPITALIZED</t>
  </si>
  <si>
    <t>PENSIONS CAPITALIZED-RKPRT-SULL EHV</t>
  </si>
  <si>
    <t>PENSIONS CAPITALIZED-ROCKPORT SPARE PARTS</t>
  </si>
  <si>
    <t>PENSIONS CAPITALIZED - ROCKPORT UNIT 1</t>
  </si>
  <si>
    <t>PENSIONS CAPITALIZED - RKPRT-JEFF EHV</t>
  </si>
  <si>
    <t>SAVINGS PLAN CAPITALIZED</t>
  </si>
  <si>
    <t>SAVINGS PLAN CAPITALIZED-RKPRT-SULL EHV</t>
  </si>
  <si>
    <t>SAVINGS PLAN CAPITALIZED-RKPT SPARE PARTS</t>
  </si>
  <si>
    <t>SAVINGS PLAN CAPITALIZED - ROCKPORT UNIT1</t>
  </si>
  <si>
    <t>SAVINGS PLAN CAPITALIZED - RKPRT-JEFF EHV</t>
  </si>
  <si>
    <t>CIAC - BK RECEIPTS - STEEL DYNAMICS</t>
  </si>
  <si>
    <t>INT EXP CAPD BK - THI SETTLE</t>
  </si>
  <si>
    <t>DEFD TX GAIN RKPRT LAND ABFUDC</t>
  </si>
  <si>
    <t>DEFD TX GAIN RKPRT LAND O/H</t>
  </si>
  <si>
    <t>REMOVAL COSTS-COOK U2 STM GNR</t>
  </si>
  <si>
    <t>REMOVAL COSTS-COOK U1 STM GNR</t>
  </si>
  <si>
    <t>SI-UNRECD FUEL CSTS (CUR MO)</t>
  </si>
  <si>
    <t>SM-UNRECD FUEL CSTS</t>
  </si>
  <si>
    <t>UNRECD FUEL-3 RIVERS-PRE-MERGE</t>
  </si>
  <si>
    <t>UNRECD FUEL INTEREST</t>
  </si>
  <si>
    <t>PROP TX-RKPT SPARES-WVA-TAX</t>
  </si>
  <si>
    <t>PROP TAX-RKPT U2-OLD METHOD TX</t>
  </si>
  <si>
    <t>MARK &amp; SPREAD - DEFL - 283 A/L</t>
  </si>
  <si>
    <t>REG ASSET - UNREAL LOSS FWD CMMT</t>
  </si>
  <si>
    <t>DEFD ENVIRON COMP COSTS &amp; CARRYING CHARGES</t>
  </si>
  <si>
    <t>REG ASSET - DEFERRED RTO COSTS</t>
  </si>
  <si>
    <t>FRT WAYNE CITY LGTS-RIGHT TO SERVE SETTLE</t>
  </si>
  <si>
    <t>RATE CASE DEFERRED CHARGES</t>
  </si>
  <si>
    <t>BK DEFL-DEMAND SIDE MNGMT EXP</t>
  </si>
  <si>
    <t>SM-OVER RECOVD RCS COSTS-DEFL</t>
  </si>
  <si>
    <t>BOOK &gt; TAX - EMA - A/C 283</t>
  </si>
  <si>
    <t>DEFD TX GAIN - INTERCO SALE - EMA</t>
  </si>
  <si>
    <t>REG ASSET-DEFD CARRY COST ON STRANDED COST</t>
  </si>
  <si>
    <t>REG ASSET-ENVIRON COMPLIANCE CARRY COSTS</t>
  </si>
  <si>
    <t>REG ASSET-OSS MARGIN SHARING</t>
  </si>
  <si>
    <t>REG ASSET-NSR CONSENT DECREE</t>
  </si>
  <si>
    <t>REG ASSET-UND/REC-CCT RIDER CAR CHGS</t>
  </si>
  <si>
    <t>REG ASSET-UND/REC-CCTR PST APP ADD CAR CHGS</t>
  </si>
  <si>
    <t>REG ASSET-UND/REC-DEFD NUC DECOM STUDY CSTS</t>
  </si>
  <si>
    <t>REG ASSET-ENHNCD COOK PLT SECURITY COSTS</t>
  </si>
  <si>
    <t>REG ASSET-DEFD COOK TURBINE REPL/COSTS-MI</t>
  </si>
  <si>
    <t>REG ASSET-TURBINE REPL UNRECOG EQ CC</t>
  </si>
  <si>
    <t>REG ASSET-DEFD TURBINE REPLACE EXP CC</t>
  </si>
  <si>
    <t>TAX DEFL - DEBT ISSUE COSTS</t>
  </si>
  <si>
    <t>CAPITALIZED SOFTWARE COST - BOOK</t>
  </si>
  <si>
    <t>U1 TX DEPR NUC FUEL</t>
  </si>
  <si>
    <t>AMORT OF NUCLEAR FUEL - UNIT 1</t>
  </si>
  <si>
    <t>U2 TX DEPR NUC FUEL</t>
  </si>
  <si>
    <t>AMORT OF NUCLEAR FUEL - UNIT 2</t>
  </si>
  <si>
    <t>NUC DECOM TRUST-SFAS 143-ARO-BK</t>
  </si>
  <si>
    <t>U1-BK DEFD NUC REFUEL COSTS</t>
  </si>
  <si>
    <t>U2-BK DEFD NUC REFUEL COSTS</t>
  </si>
  <si>
    <t>BK DEFD COOK RESTART COSTS</t>
  </si>
  <si>
    <t>REG ASSET - REACQ DEBT-RKPT U2</t>
  </si>
  <si>
    <t>POST RETIREMENT BEN - PAYMENT</t>
  </si>
  <si>
    <t>DEFD EARN-POST RETIRE BEN PYMT</t>
  </si>
  <si>
    <t>SFAS 106 PST RETIREMENT EXP - NON-DEDUCT CONT</t>
  </si>
  <si>
    <t>IND GROSS REC TAX-A/C 283-CUR</t>
  </si>
  <si>
    <t>BK DEFL - MERGER COSTS</t>
  </si>
  <si>
    <t xml:space="preserve">IRS AUDIT SETTLEMENTS </t>
  </si>
  <si>
    <t>DEFERRED ITC - 46(F)(1)</t>
  </si>
  <si>
    <t>NOL &amp; TAX CREDIT C/F-DEF TAX ASSET</t>
  </si>
  <si>
    <t>INT EXP CAPD - COOK U2 STEAM</t>
  </si>
  <si>
    <t>TXBL INT INC CAP FOR NK-BFSHAW</t>
  </si>
  <si>
    <t>INT EXP CAPD TAX - RKPT SPARES</t>
  </si>
  <si>
    <t>CIAC - BOOK RECEIPTS</t>
  </si>
  <si>
    <t>CUST ADV INC FOR TAX</t>
  </si>
  <si>
    <t>PROPERTY TAX-NEW METHOD-BOOK</t>
  </si>
  <si>
    <t>PROV FOR REFUND - FERC TRANS</t>
  </si>
  <si>
    <t>PROVS POSS REV REFD- FR</t>
  </si>
  <si>
    <t>DEFD BK GAIN-RKPT S SALE/LEASE</t>
  </si>
  <si>
    <t>MARK &amp; SPREAD - DEFL - 190 A/L</t>
  </si>
  <si>
    <t>PROV POSS PEN PYMTS</t>
  </si>
  <si>
    <t>ACCRUED BK PENSION COST - SFAS 158</t>
  </si>
  <si>
    <t>SUPPLEMENTAL EXECUTIVE RETIREMENT PLAN</t>
  </si>
  <si>
    <t>ACCRD SUP EXEC RETIRE PLAN COSTS - SFAS 158</t>
  </si>
  <si>
    <t>ACCRD BK SUP. SAVINGS PL</t>
  </si>
  <si>
    <t>EMPLOYERS SAVINGS PLAN MATCH</t>
  </si>
  <si>
    <t xml:space="preserve">ACCRUED BK BENEFIT COSTS </t>
  </si>
  <si>
    <t>PROVISION FOR LITIGATION</t>
  </si>
  <si>
    <t>ACCRD ENVIRONMENTAL LIAB - CURRENT</t>
  </si>
  <si>
    <t>ACCRD ENVIRONMENTAL LIAB - LONG-TERM</t>
  </si>
  <si>
    <t>ACCRUED LEASE LIABILITY - FORT WAYNE</t>
  </si>
  <si>
    <t>ACCRD SEMCO ENVIRON REMEDIATION CSTS</t>
  </si>
  <si>
    <t>ACCRUED BK SEI EMP BENEFIT COSTS</t>
  </si>
  <si>
    <t>ACCRUED BK SEVERANCE BENEFIT</t>
  </si>
  <si>
    <t>FRT WAYNE CITY LGTS SETTLEMENT</t>
  </si>
  <si>
    <t>ACCRUED INTEREST - LONG TERM - FIN 48</t>
  </si>
  <si>
    <t>ACCRUED INTEREST - SHORT TERM - FIN 48</t>
  </si>
  <si>
    <t>STATE MITIGATION PROGRAMS</t>
  </si>
  <si>
    <t>TAX&gt;BOOK BASIS-EMA-A/C-190</t>
  </si>
  <si>
    <t>DEFD BK GAIN-NON-AFF SALE-EMA</t>
  </si>
  <si>
    <t>DEFD BK LOSS-NON-AFF SALE-EMA</t>
  </si>
  <si>
    <t>DEFD TAX LOSS-INTERCO SALE-EMA</t>
  </si>
  <si>
    <t>REG LIAB - UNREAL MTM GAIN - DEFL</t>
  </si>
  <si>
    <t>REG LIAB - SFAS 143-ARO</t>
  </si>
  <si>
    <t>INSTALL ALLOWANCES CAPD - TAX</t>
  </si>
  <si>
    <t>SM-DEFD PRE 4 7 83 DISP COSTS</t>
  </si>
  <si>
    <t>SI-DEFD PRE 4 7 83 DISP COSTS</t>
  </si>
  <si>
    <t>FR-DEFD PRE 4 7 83 DISP COSTS</t>
  </si>
  <si>
    <t>TC-DEFD PRE 4 7 83 DISP</t>
  </si>
  <si>
    <t>AMORT SNF DISPOSAL CONTAINER COSTS</t>
  </si>
  <si>
    <t>FR-AMORT INT PRE 4 7 83 DISP</t>
  </si>
  <si>
    <t>SI-AMORT INT PRE 4 7 83 DISP</t>
  </si>
  <si>
    <t>SM-AMORT INT PRE 4 7 83 DISP</t>
  </si>
  <si>
    <t>TC-ACC INT PRE 4 7 83 DISP CST</t>
  </si>
  <si>
    <t>BK EXP NUC FUEL DECONTAM FUND</t>
  </si>
  <si>
    <t>SM-ACC NQ NUC DECOM EXP - RATES</t>
  </si>
  <si>
    <t>SI-ACC NQ NUC DECOM EXP - RATES</t>
  </si>
  <si>
    <t>FR-ACC NQ NUC DECOM EXP - RATES</t>
  </si>
  <si>
    <t>SM-ACC NQ NUC DCM EXP-NQ TR INC</t>
  </si>
  <si>
    <t>SI-ACC NQ NUC DCM EXP-NQ TR INC</t>
  </si>
  <si>
    <t>FR-ACC NQ NUC DCM EXP-NQ TR INC</t>
  </si>
  <si>
    <t>BK DEFL - GAIN REACQUIRED DEBT</t>
  </si>
  <si>
    <t>ACCRD SFAS 112 PST EMPLY BEN</t>
  </si>
  <si>
    <t>BK PROV-W/O DEFD SFAS 106 BAL</t>
  </si>
  <si>
    <t>AMORT STEP-UP ITC TO TI-RKPT 2</t>
  </si>
  <si>
    <t xml:space="preserve">ACCRD SIT TX RES - LONG TERM - FIN 48 </t>
  </si>
  <si>
    <t xml:space="preserve">ACCRD SIT TX RES - SHORT TERM - FIN 48 </t>
  </si>
  <si>
    <t>CAPITALIZED COOK COSTS - TAX</t>
  </si>
  <si>
    <t>1977-1980 IRS AUDIT SETTLEMENT</t>
  </si>
  <si>
    <t>1981-1982 IRS AUDIT SETTLEMENT</t>
  </si>
  <si>
    <t>1988-1990 IRS AUDIT SETTLEMENT</t>
  </si>
  <si>
    <t>1997-1999 IRS AUDIT SETTLEMENT</t>
  </si>
  <si>
    <t>2000-2003 IRS AUDIT SETTLEMENT</t>
  </si>
  <si>
    <t>DEFD FIT - CAPITAL LOSS CFWD</t>
  </si>
  <si>
    <t xml:space="preserve">DEFD STATE INCOME TAXES  </t>
  </si>
  <si>
    <t xml:space="preserve">DEFD STATE INCOME TAXES - FIN 48 </t>
  </si>
  <si>
    <t>ADIT FED HDG CF INT RATE 1900015</t>
  </si>
  <si>
    <t>NON-UTILITY DEFERRED SIT  1902002</t>
  </si>
  <si>
    <t>KENTUCKY POWER COMPANY</t>
  </si>
  <si>
    <t>NON-UTILITY DEFERRED FIT 281.2</t>
  </si>
  <si>
    <t>EXCESS FIT % RATE CHANGE</t>
  </si>
  <si>
    <t>EX L/T DFIT TX RESERVE - 1986 TRA</t>
  </si>
  <si>
    <t xml:space="preserve">ACRS  NORM-HRJ </t>
  </si>
  <si>
    <t>ABFUDC- HRJ POST IN-SERVICE</t>
  </si>
  <si>
    <t>ABFUDC-HRJ</t>
  </si>
  <si>
    <t>DEFD FUEL ACC REVS A/C 283</t>
  </si>
  <si>
    <t>DEFD FUEL REG ADJ A/C 283</t>
  </si>
  <si>
    <t>BOOK PROV UNCOLL ACCTS</t>
  </si>
  <si>
    <t>REG ASSET-SFAS 158 - PENSIONS</t>
  </si>
  <si>
    <t>REG ASSET-SFAS 158 - SERP</t>
  </si>
  <si>
    <t>REG ASSET-SFAS 158 - OPEB</t>
  </si>
  <si>
    <t>NON-UTILITY DEFERRED FIT 283.2</t>
  </si>
  <si>
    <t>ADIT - FED-HDG-CF-INT RATE 2830015</t>
  </si>
  <si>
    <t xml:space="preserve">SFAS 109 - DEFD STATE INCOME TAXES </t>
  </si>
  <si>
    <t>DEFD FUEL EXP-CUR DEFL SET UP</t>
  </si>
  <si>
    <t>DEFD FUEL ADJ-ACCRD UTIL REVS</t>
  </si>
  <si>
    <t>DEFD FUEL ADJ-REG</t>
  </si>
  <si>
    <t>PROV POSS REV REFDS</t>
  </si>
  <si>
    <t>MTM BK LOSS-A/L-TAX DEFL</t>
  </si>
  <si>
    <t>ACCRD SUP EXEC RETIR PLAN COSTS-SFAS 158</t>
  </si>
  <si>
    <t>ACCRUED BOOK SEVERANCE BENEFITS</t>
  </si>
  <si>
    <t>ACCRUED INTEREST - LONG-TERM-FIN48</t>
  </si>
  <si>
    <t>ACCRUED INTEREST  SHORT-TERM-FIN48</t>
  </si>
  <si>
    <t>ACCRUED STATE INCOME TAX EXP</t>
  </si>
  <si>
    <t>DEFERRED STORM DAMAGE</t>
  </si>
  <si>
    <t>REG LIAB-UNREAL MTM GAIN-DEFL</t>
  </si>
  <si>
    <t>SFAS 106 PST RETIRE EXP- NON-DEDUCT CONT</t>
  </si>
  <si>
    <t>ACCRD SFAS 112 PST EMPLOY BEN</t>
  </si>
  <si>
    <t>ACCRD BOOK ARO EXPENSE - SFAS 143</t>
  </si>
  <si>
    <t>FIN 48 DSIT</t>
  </si>
  <si>
    <t xml:space="preserve">ACCRD SALES &amp; USE TAX RESERVE </t>
  </si>
  <si>
    <t>ACCRD SIT TX RESERVE - LNG-TERM-FIN 48</t>
  </si>
  <si>
    <t>ACCRD SIT TX RESERVE - SHRT-TERM-FIN 48</t>
  </si>
  <si>
    <t>AMT CREDIT - DEFERRED</t>
  </si>
  <si>
    <t>ADIT-FED-HDG-CF-INT RATE1900015</t>
  </si>
  <si>
    <t>KINGSPORT POWER COMPANY</t>
  </si>
  <si>
    <t>BOOK VS TAX DEPRECIATION</t>
  </si>
  <si>
    <t xml:space="preserve">CAPD INTEREST-SECTION 481 (a)-CHG IN METHOD </t>
  </si>
  <si>
    <t xml:space="preserve">RELOCATION COST-SECTION 481 (a) </t>
  </si>
  <si>
    <t>DEFD RTO EXPENSES</t>
  </si>
  <si>
    <t>REG ASSET - SFAS 158 OPEB</t>
  </si>
  <si>
    <t>PROVS POSS REV REFDS-A/L</t>
  </si>
  <si>
    <t>ACCRD SIT TX RES-SHRT-TERM-FIN 48</t>
  </si>
  <si>
    <t>AMT CREDIT-DEFERRED</t>
  </si>
  <si>
    <t>OHIO POWER COMPANY</t>
  </si>
  <si>
    <t>COOK COAL</t>
  </si>
  <si>
    <t>TAX AMORT POLLUTION CONTROL EQPT</t>
  </si>
  <si>
    <t>TAX ACCEL AMORT-GAVIN SCRUBBER</t>
  </si>
  <si>
    <t>GYPSUM WALLBOARD CONVEYOR</t>
  </si>
  <si>
    <t>DFIT-GENERATION PLANT</t>
  </si>
  <si>
    <t>GAIN/LOSS ON ACRS/MACRS-BK/TX UNIT OF PROPERTY</t>
  </si>
  <si>
    <t>AOFUDC</t>
  </si>
  <si>
    <t>BK/TAX GAIN-SALE OF MISC PROP</t>
  </si>
  <si>
    <t>BK VS. TAX GAIN/LOSS - SPORN UNIT 5</t>
  </si>
  <si>
    <t>REMOVAL COSTS REV-SFAS 143-ARO</t>
  </si>
  <si>
    <t>FERC JMG ADJUSTMENT</t>
  </si>
  <si>
    <t>CAPD CARRY CHRG-DEFD OH DEREG</t>
  </si>
  <si>
    <t>FAC PROV-CONTRA ASSET-OH</t>
  </si>
  <si>
    <t>CARRYING CHARGES-OHIO FUEL ADJ CLAUSE-CURRENT</t>
  </si>
  <si>
    <t>OH UNRECOV FUEL COST RESERVE</t>
  </si>
  <si>
    <t>DEFD TAX GAIN - DIVIDEND OF PARK GARAGE</t>
  </si>
  <si>
    <t>DEFERRED EXPENSES</t>
  </si>
  <si>
    <t>RATE CASE DEFD CHARGES</t>
  </si>
  <si>
    <t>BK DEFL-COOK COAL T LEASE CSTS</t>
  </si>
  <si>
    <t>PILOT OBLIGATIONS - PLANT ACQUISITIONS</t>
  </si>
  <si>
    <t>BK INVEST-AEPC IN-KIND SERVICES</t>
  </si>
  <si>
    <t>DEFD BK LOSS - NON-AFF SALE - EMA</t>
  </si>
  <si>
    <t>DEFD BOOK GAIN-EPA AUCTION</t>
  </si>
  <si>
    <t>REG ASSET-DARR-UNRECOGNIZED EQUITY CARRY CHG</t>
  </si>
  <si>
    <t>REG ASSET-DARR-CARRYING CHARGES</t>
  </si>
  <si>
    <t>REG ASSET-DARR-DISTRIBUTION DEFERRED ASSETS</t>
  </si>
  <si>
    <t>REG ASSET-UNDER RECOVERED CAPACITY COST</t>
  </si>
  <si>
    <t>REG ASSET-CAPACITY COST CARRYING CHARGES</t>
  </si>
  <si>
    <t>REG ASSET-UND/REC DIST INVEST RIDER</t>
  </si>
  <si>
    <t>REG ASSET-UND/REC DIST RECOUP REV PROG</t>
  </si>
  <si>
    <t>REG ASSET-DIR UNRECOGNIZED EQUITY</t>
  </si>
  <si>
    <t>REG ASSET-UNCOLL-EDR DELAYED PMT ARNGMNT</t>
  </si>
  <si>
    <t>STATE TAX EXPENSE</t>
  </si>
  <si>
    <t>BOOK &gt; TAX BASIS-PRTSHP INVEST</t>
  </si>
  <si>
    <t>ADIT FED - SFAS 133 NONAFFIL 2830006</t>
  </si>
  <si>
    <t>ADIT FED - HDG-CF-INT RATE 28300015</t>
  </si>
  <si>
    <t>ADIT FED - HDG-CF-FOR EXCHG 28300016</t>
  </si>
  <si>
    <t>DEFERRED STATE INCOME TAX</t>
  </si>
  <si>
    <t>TAX ALLOC-ITC-10%-46F1</t>
  </si>
  <si>
    <t>SEC ALLOC - ITC - GENERATION PLANT</t>
  </si>
  <si>
    <t>IGCC REVENUES</t>
  </si>
  <si>
    <t>CIAC-BOOK RECEIPTS</t>
  </si>
  <si>
    <t>TAXABLE GRANTS-CAPITAL PORTION</t>
  </si>
  <si>
    <t>LOSS ON DISP OF PROP - SFAS 143 - ARO -BK</t>
  </si>
  <si>
    <t>MARK &amp; SPREAD - DEFL - 190 - A/L</t>
  </si>
  <si>
    <t>PROV WORKER'S COMP</t>
  </si>
  <si>
    <t>ACCRD SUP EXEC RET PLAN CST - SFAS 158</t>
  </si>
  <si>
    <t>ACCRUED BK SUP SAVINGS PLAN EXP</t>
  </si>
  <si>
    <t>ACCRUED BK BENEFIT COSTS</t>
  </si>
  <si>
    <t>BK ACCRD CUST EDUC FUND REIMB</t>
  </si>
  <si>
    <t>BK PROV-LT COAL NOTE RECEIVABLE</t>
  </si>
  <si>
    <t>PROV-TRADING CREDIT RISK - A/L</t>
  </si>
  <si>
    <t>PROV-FAS 157 - A/L</t>
  </si>
  <si>
    <t>PIP CUSTOMER BAD DEBTS - BOOK</t>
  </si>
  <si>
    <t>DEFD COMPENSATION-BOOK EXPENSE</t>
  </si>
  <si>
    <t>BK LOSS PROV - PLANT M&amp;S</t>
  </si>
  <si>
    <t>ACCRD ENVIRONMENTAL LIAB-CURRENT</t>
  </si>
  <si>
    <t>ACCRUED PARTNERSHIP W/OH-NONCURRENT</t>
  </si>
  <si>
    <t>ACCRUED PARTNERSHIP W/OH-CURRENT</t>
  </si>
  <si>
    <t>ACCRUED OH GROWTH FUND-NONCURRENT</t>
  </si>
  <si>
    <t>ACCRUED OH GROWTH FUND-CURRENT</t>
  </si>
  <si>
    <t>BK ACCRUAL -COOK CT RENT HOLIDAY</t>
  </si>
  <si>
    <t>ACCRUED INTEREST - L/T - FIN 48</t>
  </si>
  <si>
    <t>ACCRUED INTEREST - S/T - FIN 48</t>
  </si>
  <si>
    <t>ACCRD LOW INCOME HOUSING OBLIGATIONS</t>
  </si>
  <si>
    <t>PROV LOSS-CAR CHG-PURCHASED EMA</t>
  </si>
  <si>
    <t>CCD BILL-DFRD RETIRE BENEFITS-DFL</t>
  </si>
  <si>
    <t>DEFD CREDITS - DEFD DEPR &amp; CAPACITY CST</t>
  </si>
  <si>
    <t>TX DFL JT POLE ATT COSTS</t>
  </si>
  <si>
    <t>BK ACC MIN RENTS-GAVIN SCRUB</t>
  </si>
  <si>
    <t>TAX &gt; BOOK BASIS - EMA - A/C 190</t>
  </si>
  <si>
    <t>DEFD TX LOSS - INTERCO SALE - EMA</t>
  </si>
  <si>
    <t>BK AMORT-QUAL OF SRVC ENHANCE</t>
  </si>
  <si>
    <t>DEFD CREDITS - EXT OF LOCAL FACILITIES</t>
  </si>
  <si>
    <t>REG LIAB-GRIDSMART RESERVE</t>
  </si>
  <si>
    <t>REG LIAB - DEFD DEREG CARRY CHARGE COSTS</t>
  </si>
  <si>
    <t>DEFD REV-BONUS LEASE SHORT-TERM</t>
  </si>
  <si>
    <t>DEFD REV-BONUS LEASE LONG-TERM</t>
  </si>
  <si>
    <t>IMPAIRED ASSETS RES - FAS 121 - BK</t>
  </si>
  <si>
    <t>AMORT - GOODWILL PER BOOKS</t>
  </si>
  <si>
    <t>BK CAPD SETTLEMENT CHARGES</t>
  </si>
  <si>
    <t>ACCRUED OPEB COSTS - SFAS 158</t>
  </si>
  <si>
    <t>SFAS 106-MEDICARE SUBSIDY-NORM-(PPACA)</t>
  </si>
  <si>
    <t>REMOVAL COST CAPD-BK/TX UNIT OF PROP</t>
  </si>
  <si>
    <t>STATE TAX EXPENSED</t>
  </si>
  <si>
    <t>GRIDSMART CAPITAL RESERVE</t>
  </si>
  <si>
    <t xml:space="preserve">ACCRD SIT TX RESERVE - L/T - FIN 48 </t>
  </si>
  <si>
    <t xml:space="preserve">ACCRD SIT TX RESERVE - SHRT - FIN 48 </t>
  </si>
  <si>
    <t>BOOK &gt; TAX BASIS - PARTNERSHIP INVEST</t>
  </si>
  <si>
    <t>CHARITABLE CONTRIBUTION CARRYFORWARD</t>
  </si>
  <si>
    <t>ACCRUED WV B&amp;O TAX RESERVE</t>
  </si>
  <si>
    <t>SO2 ALLOWANCE PROVISION-OH VALUATION</t>
  </si>
  <si>
    <t>AMORT 77-80 IRS SETTLEMENT</t>
  </si>
  <si>
    <t>AMORT 85-87 IRS SETTLEMENT</t>
  </si>
  <si>
    <t>AMORT 88-90 IRS SETTLEMENT</t>
  </si>
  <si>
    <t>AMORT 91-96 IRS SETTLEMENT</t>
  </si>
  <si>
    <t>AMORT 1997-2003 IRS SETTLEMENT</t>
  </si>
  <si>
    <t>ADIT FED - HEDGE-CF-FOR EXCHG 1900016</t>
  </si>
  <si>
    <t>WHEELING POWER COMPANY</t>
  </si>
  <si>
    <t>CAPD INTEREST SECTION 481A-CHANGE IN METHOD</t>
  </si>
  <si>
    <t>RELOCATION CST - SECT 481A - CHANGE IN METHOD</t>
  </si>
  <si>
    <t>BK PLANT IN SERVICE - SFAS 143 ARO</t>
  </si>
  <si>
    <t>CAPD RELOCATION COSTS</t>
  </si>
  <si>
    <t>REG ASSET - SFAS 143-ARO</t>
  </si>
  <si>
    <t>REG ASSET - SFAS 158 PENSIONS</t>
  </si>
  <si>
    <t>BOOK LEASES CAP'D FOR TAX</t>
  </si>
  <si>
    <t>SW OVER RECOVERY OF FUEL</t>
  </si>
  <si>
    <t>SW UNDER RECOVERY OF FUEL</t>
  </si>
  <si>
    <t>ACCRUED INTEREST LONG TERM FIN 48</t>
  </si>
  <si>
    <t>ACCRUED INTEREST SHORT TERM FIN 48</t>
  </si>
  <si>
    <t>ACCRD SFAS 106 PST RETIRE EXP NON DEDUCT</t>
  </si>
  <si>
    <t>ACCRD BOOK ARO EXPENSE SFAS 143</t>
  </si>
  <si>
    <t>ACCRD SIT TX RES LONG TERM FIN 48</t>
  </si>
  <si>
    <t>ACCRD SIT TX RES SHRT TERM FIN 48</t>
  </si>
  <si>
    <t>NON-UTILITY DEFERRED FIT</t>
  </si>
  <si>
    <t>FUNCTIONALIZATION 12/31/13</t>
  </si>
  <si>
    <t>OF 12-31-13</t>
  </si>
  <si>
    <t>DISALLOWED COSTS-RESERVE DEFICIENCY-APCO VA</t>
  </si>
  <si>
    <t>WV UNREC FUEL DISPUTED COAL INV</t>
  </si>
  <si>
    <t>PROP TX-STATE 2 OLD METHOD-TX</t>
  </si>
  <si>
    <t>DEFD TAX GAIN - APCO WV SEC REG ASSET</t>
  </si>
  <si>
    <t>DEFD BK LOSS-NON AFF SALE-EMA</t>
  </si>
  <si>
    <t>REG ASSET-WW CC-CONSTR SURCHARG UNRECOG EQ</t>
  </si>
  <si>
    <t>REG ASSET-WW CONSTR SURCHRG OPER COSTS</t>
  </si>
  <si>
    <t>REG ASSET-WW CC CONSTR SURCHRG</t>
  </si>
  <si>
    <t>ACCRD COMPANY INCENT PLAN-ENGAGE TO GAIN</t>
  </si>
  <si>
    <t>PROV LOSS CAR CHG PURCHASED EMA</t>
  </si>
  <si>
    <t>TAX&gt;BOOK BASIS - EMA A/C 190</t>
  </si>
  <si>
    <t>GROSS RECEIPTS-TAX EXPENSE</t>
  </si>
  <si>
    <t>REHAB CREDIT-DEFD TAX ASSET RECLASS</t>
  </si>
  <si>
    <t>REG ASSET-UNRECOVERED RES-MI</t>
  </si>
  <si>
    <t>REG ASSET-RES CARRYING COSTS-MI</t>
  </si>
  <si>
    <t>REG ASSET-RES UNRECOGNIZED EQUITY CC-MI</t>
  </si>
  <si>
    <t>REG ASSET-BAFFLE BOLTS</t>
  </si>
  <si>
    <t>REG ASSET-MI DEFERRED DEPR-COOK LCM</t>
  </si>
  <si>
    <t>REG ASSET-MI CARRYING CHARGE-COOK LCM</t>
  </si>
  <si>
    <t>REG ASSET-MI CC COOK LCM UNREC EQUITY</t>
  </si>
  <si>
    <t>REG ASSET-IN COOK TURBINE CC EQUITY</t>
  </si>
  <si>
    <t>REG ASSET-IN COOK TURBINE CC</t>
  </si>
  <si>
    <t>REG ASSET-IN CARRYING CHARGES COOK PLANT LCM UNREC EQUITY</t>
  </si>
  <si>
    <t>REG ASSET-IN CARRYING CHARGES COOK PLANT LCM</t>
  </si>
  <si>
    <t>REG ASSET-IN DEFERRED PROP TAX-COOK LCM</t>
  </si>
  <si>
    <t>REG ASSET-IN DEFERRED DEPRECIATION-COOK LCM</t>
  </si>
  <si>
    <t>REG ASSET-IN UNDER RECOVERY CAPACITY</t>
  </si>
  <si>
    <t>SFAS 106-MEDICARE SUBSIDY-(PPACA)-REG ASSET</t>
  </si>
  <si>
    <t>PROVISION FOR R &amp; D WASTE ACCRUAL LT</t>
  </si>
  <si>
    <t>PROVISION FOR R &amp; D WASTE ACCRUAL ST</t>
  </si>
  <si>
    <t>BK PROV UNCOLL ACCTS-ST</t>
  </si>
  <si>
    <t>BK PROV UNCOLL ACCTS-LT</t>
  </si>
  <si>
    <t>SFAS 106 PST RETIRE EXP-NON-DEDUCT CONT</t>
  </si>
  <si>
    <t>PREL SURVEY &amp; INVEST RESERVE-BIG SANDY FGD</t>
  </si>
  <si>
    <t>ECONOMIC DEVEL FUND - CURRENT</t>
  </si>
  <si>
    <t>ECONOMIC DEVEL FUND - NON-CURRENT</t>
  </si>
  <si>
    <t>TAX&gt;BOOK BASIS - EMA-A/C 190</t>
  </si>
  <si>
    <t>REG ASSET-CCS FEED STUDY RESERVE</t>
  </si>
  <si>
    <t>SFAS 106 - MEDICARE SUBSIDY - NORM - (PPACA)</t>
  </si>
  <si>
    <t>REG ASSET-RTO DEMAND RESPONSE COSTS</t>
  </si>
  <si>
    <t>UNRECOV COST FAC-LT RESERVE-OH</t>
  </si>
  <si>
    <t>REG ASSET-DIST DECOUPLING CARRYING CHARGES</t>
  </si>
  <si>
    <t>REG ASSET-PTBAR CARRYING CHARGES (DIST DECOUP)</t>
  </si>
  <si>
    <t>BK PROV UNCOLL ACCTS-LT ORMET</t>
  </si>
  <si>
    <t>(ICDP)-INCENTIVE COMP DEFERRAL PLAN</t>
  </si>
  <si>
    <t>SECURITIZATION DEFD EQUITY INCOME-LONG TERM</t>
  </si>
  <si>
    <t>SFAS 106-MEDICARE SUBSIDY-(PPACA)REG ASSET</t>
  </si>
  <si>
    <t>PERIOD ENDED DECEMBER 31, 2014</t>
  </si>
  <si>
    <t>FUNCTIONALIZATION 12/31/14</t>
  </si>
  <si>
    <t>OF 12-31-14</t>
  </si>
  <si>
    <t>DEFD EXPS (A/C 186)</t>
  </si>
  <si>
    <t>REG ASSET-SFAS 143 - ARO</t>
  </si>
  <si>
    <t>REG ASSET-UNDERRECOVERY-VIRGINIA T-RAC</t>
  </si>
  <si>
    <t>REG ASSET-MOUNTAINEER CARBON CAPTURE</t>
  </si>
  <si>
    <t>REG ASSET-DEFERRED RPS COSTS</t>
  </si>
  <si>
    <t>REG ASSET-CARRYING CHARGES-WV ENEC</t>
  </si>
  <si>
    <t>REG ASSET-WV VMP (VEGETATION MGMT) COSTS</t>
  </si>
  <si>
    <t>REG ASSET-CARRYING CHARGES-WV VMP</t>
  </si>
  <si>
    <t>REG ASSET-UNREC EQUITY CC WV-AMOS 3</t>
  </si>
  <si>
    <t>REG ASSET-CARRYING CHARGES WV-AMOS 3</t>
  </si>
  <si>
    <t>REG ASSET-IGCC PRE-CONSTRUCTION COSTS</t>
  </si>
  <si>
    <t>SECURITIZATION DEFD EQUITY INCOME-LT</t>
  </si>
  <si>
    <t>ADIT FED - PENSION OCI  1900010</t>
  </si>
  <si>
    <t>ADIT FED - NON-UMWA PRW OCI 1900011</t>
  </si>
  <si>
    <t>ADIT FED - UMWA PRW OCI 1900012</t>
  </si>
  <si>
    <t>REG ASSET-DEFERRED PJM FEES</t>
  </si>
  <si>
    <t>REG ASSET-UNDERRECOVERY PJM EXPENSES</t>
  </si>
  <si>
    <t>REG ASSET-UNDERRECOVERY-DSM ENERGY OPT</t>
  </si>
  <si>
    <t>REG ASSET-EO FINANCIAL INCENTIVES-MI</t>
  </si>
  <si>
    <t>REG ASSET-IN-EECO EQUITY CC-RES</t>
  </si>
  <si>
    <t>REG ASSET-IN-EECO EQUITY CC-C&amp;I</t>
  </si>
  <si>
    <t>REG ASSET-IN-EECO TOTAL CC-RES</t>
  </si>
  <si>
    <t>REG ASSET-IN-EECO TOTAL CC-C&amp;I</t>
  </si>
  <si>
    <t>REG ASSET-IN DSM UNDER RECOV C&amp;I</t>
  </si>
  <si>
    <t>REG ASSET-IN DSM UNDER RECOV NON C&amp;I</t>
  </si>
  <si>
    <t>REG ASSET-CARRY CHARGES-MI LOST REVENUES</t>
  </si>
  <si>
    <t>REG ASSET-MI NET LOST REVENUES-CONTRA</t>
  </si>
  <si>
    <t>REG ASSET-MI DEFERRED PROP TAX-COOK LCM</t>
  </si>
  <si>
    <t>REG ASSET-IN DEFERRED LCM - E3 COSTS</t>
  </si>
  <si>
    <t>REG ASSET-IN TOTAL E3 CARRYING COSTS</t>
  </si>
  <si>
    <t>REG ASSET-IN E3 EQUITY CARRYING COSTS</t>
  </si>
  <si>
    <t>REG ASSET-ABANDONED PLANT STRANDED COSTS</t>
  </si>
  <si>
    <t>REG ASSET-ROCKPORT DSI DEPR-80PCT FMR</t>
  </si>
  <si>
    <t>REG ASSET-ROCKPORT DSI DEPR-20PCT NON-FMR</t>
  </si>
  <si>
    <t>REG ASSET-ROCKPORT DSI CC-80PCT FMR</t>
  </si>
  <si>
    <t>REG ASSET-ROCKPORT DSI EQUITY CC 80PCT FMR</t>
  </si>
  <si>
    <t>REG ASSET-ROCKPORT DSI CC-20PCT NON-FMR</t>
  </si>
  <si>
    <t>REG ASSET-ROCKPORT DSI EQ CC-20PCT NON-FMR</t>
  </si>
  <si>
    <t>SFAS 133 ADIT FED - SFAS 133 NONAFFIL - 2830006</t>
  </si>
  <si>
    <t>ADIT FED HDG CF INT RATE - 2830015</t>
  </si>
  <si>
    <t>ADIT FED - PENSION OCI 1900010</t>
  </si>
  <si>
    <t>ADIT FED - PENSION NON-UMWA PRW OCI 1900011</t>
  </si>
  <si>
    <t>DEFD FUEL CUR SET UP A/C 283</t>
  </si>
  <si>
    <t>REG ASSET-ATR UNDER RECOVERY</t>
  </si>
  <si>
    <t>ADIT FED - PENSION OCI NAF 1900010</t>
  </si>
  <si>
    <t>ADIT FED - NON-UMWA PRW OCI NAF 1900011</t>
  </si>
  <si>
    <t>DECEMBER 31, 2014</t>
  </si>
  <si>
    <t>PERIOD ENDING DECEMBER 31,  2014</t>
  </si>
  <si>
    <t>PROV FOR REFUND-DEFERRED FAC-OH</t>
  </si>
  <si>
    <t>ABFUDC-C&amp;SOE GROSS METHOD</t>
  </si>
  <si>
    <t>ABFUDC-SMART HOUSE - LAND</t>
  </si>
  <si>
    <t>DEFD FUEL EXP-OH FAC-CURRENT</t>
  </si>
  <si>
    <t xml:space="preserve">CARRY CHGS - OH FUEL ADJUST CLAUSE  </t>
  </si>
  <si>
    <t xml:space="preserve">DEFD TAX GAIN - DIVIDEND OF PARK GARAGE  </t>
  </si>
  <si>
    <t>DEFD TAX GAIN - SEC I REG ASSET</t>
  </si>
  <si>
    <t>CCD BILL- PREPAID PENSIONS-DFL</t>
  </si>
  <si>
    <t>REG LIAB-UNUSED SHOPPING INCENTIVES</t>
  </si>
  <si>
    <t>REG ASSET-DEFD RSP FILING COSTS</t>
  </si>
  <si>
    <t>REG ASSET-EXT OF LOCAL FACILITIES</t>
  </si>
  <si>
    <t>REG ASSET-DEFD DEREG CARRY CHARGE COSTS</t>
  </si>
  <si>
    <t>REG ASSET-UNDER RECOV - OHIO TCR RIDER</t>
  </si>
  <si>
    <t>REG ASSET-CARRY CHGS - OHIO TCR RIDER</t>
  </si>
  <si>
    <t>REG ASSET-OHIO STORM RECOVERY</t>
  </si>
  <si>
    <t>REG ASSET-UNDERRECOVERY ESRP COSTS-OH</t>
  </si>
  <si>
    <t>REG ASSET-UND/REC GRIDSMART DIST EXP</t>
  </si>
  <si>
    <t>REG ASSET-UND/REC GRIDSMART CARRY CHGS</t>
  </si>
  <si>
    <t>REG ASSET-UND/REC GRIDSMART DEPR/A&amp;G EXP</t>
  </si>
  <si>
    <t>REG ASSET-UND/REC GRIDSMART DEF EQ CAR CHG</t>
  </si>
  <si>
    <t>REG ASSET-PROV FOR REG ASSET WRITE-OFF</t>
  </si>
  <si>
    <t>REG ASSET-EDR - ORMET CARRYING COSTS</t>
  </si>
  <si>
    <t xml:space="preserve">REG ASSET-EDR - ORMET </t>
  </si>
  <si>
    <t xml:space="preserve">REG ASSET-EXCESS EDR CAP DEFERRAL </t>
  </si>
  <si>
    <t xml:space="preserve">REG ASSET-EXCESS EDR CAP DEF-CAR CSTS  </t>
  </si>
  <si>
    <t>REG ASSET-DEFD RECOVERABLE DISTR ASSET FOR PWO</t>
  </si>
  <si>
    <t>REG ASSET-UNREC AER COSTS-OH</t>
  </si>
  <si>
    <t xml:space="preserve">REG ASSET-PTBAR UNDER REC (DIST DECOUP) </t>
  </si>
  <si>
    <t>SFAS 133 ADIT FED - Non-UMWA PRW OCI 1900011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</si>
</sst>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2" fillId="0" borderId="0">
      <alignment/>
      <protection/>
    </xf>
    <xf numFmtId="3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3" fontId="2" fillId="0" borderId="0" xfId="57" applyNumberFormat="1" applyFont="1" applyFill="1" applyAlignment="1">
      <alignment/>
      <protection/>
    </xf>
    <xf numFmtId="3" fontId="0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37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37" fontId="2" fillId="0" borderId="10" xfId="0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3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37" fontId="0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7" fontId="0" fillId="0" borderId="11" xfId="0" applyNumberFormat="1" applyFill="1" applyBorder="1" applyAlignment="1">
      <alignment/>
    </xf>
    <xf numFmtId="39" fontId="0" fillId="0" borderId="11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3" fontId="0" fillId="0" borderId="0" xfId="0" applyNumberFormat="1" applyFont="1" applyAlignment="1">
      <alignment horizontal="left"/>
    </xf>
    <xf numFmtId="164" fontId="4" fillId="0" borderId="0" xfId="44" applyNumberFormat="1" applyFont="1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37" fontId="9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37" fontId="0" fillId="32" borderId="0" xfId="0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0" borderId="0" xfId="57" applyNumberFormat="1" applyFont="1" applyFill="1" applyAlignment="1">
      <alignment/>
      <protection/>
    </xf>
    <xf numFmtId="37" fontId="2" fillId="32" borderId="0" xfId="0" applyNumberFormat="1" applyFont="1" applyFill="1" applyAlignment="1">
      <alignment/>
    </xf>
    <xf numFmtId="37" fontId="0" fillId="0" borderId="0" xfId="44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164" fontId="0" fillId="0" borderId="10" xfId="44" applyNumberFormat="1" applyFont="1" applyFill="1" applyBorder="1" applyAlignment="1">
      <alignment/>
    </xf>
    <xf numFmtId="164" fontId="0" fillId="0" borderId="0" xfId="44" applyNumberFormat="1" applyFont="1" applyFill="1" applyAlignment="1">
      <alignment/>
    </xf>
    <xf numFmtId="164" fontId="0" fillId="0" borderId="0" xfId="44" applyNumberFormat="1" applyFont="1" applyAlignment="1">
      <alignment/>
    </xf>
    <xf numFmtId="164" fontId="0" fillId="0" borderId="0" xfId="44" applyNumberFormat="1" applyFont="1" applyAlignment="1">
      <alignment horizontal="centerContinuous"/>
    </xf>
    <xf numFmtId="164" fontId="0" fillId="0" borderId="10" xfId="44" applyNumberFormat="1" applyFont="1" applyBorder="1" applyAlignment="1">
      <alignment/>
    </xf>
    <xf numFmtId="164" fontId="0" fillId="0" borderId="11" xfId="44" applyNumberFormat="1" applyFont="1" applyFill="1" applyBorder="1" applyAlignment="1">
      <alignment/>
    </xf>
    <xf numFmtId="37" fontId="2" fillId="32" borderId="0" xfId="0" applyNumberFormat="1" applyFont="1" applyFill="1" applyBorder="1" applyAlignment="1">
      <alignment/>
    </xf>
    <xf numFmtId="37" fontId="0" fillId="32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TATEMENT A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APCo-AF-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WPCO%20AG-3-2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APCo-AG-3-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I&amp;M-AF-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I&amp;M-AG-3-2-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KGPT-AF-2-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Kgpt-AG-3-2-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OPCO-AF-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OPCO-AG-3-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2%20Actual%202013%20Forecasted%20FR%20Update\ADIT%20Worksheets\WPCO%20AF-2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-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CO-AF-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G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showOutlineSymbols="0" zoomScale="87" zoomScaleNormal="87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B5" sqref="B5"/>
    </sheetView>
  </sheetViews>
  <sheetFormatPr defaultColWidth="12.7109375" defaultRowHeight="15"/>
  <cols>
    <col min="1" max="1" width="4.7109375" style="2" customWidth="1"/>
    <col min="2" max="2" width="56.140625" style="4" customWidth="1"/>
    <col min="3" max="7" width="15.7109375" style="4" customWidth="1"/>
    <col min="8" max="8" width="2.7109375" style="4" customWidth="1"/>
    <col min="9" max="11" width="15.7109375" style="4" customWidth="1"/>
    <col min="12" max="12" width="2.7109375" style="4" customWidth="1"/>
    <col min="13" max="15" width="15.7109375" style="4" customWidth="1"/>
    <col min="16" max="16" width="2.7109375" style="4" customWidth="1"/>
    <col min="17" max="19" width="15.7109375" style="4" customWidth="1"/>
    <col min="20" max="16384" width="12.7109375" style="4" customWidth="1"/>
  </cols>
  <sheetData>
    <row r="1" spans="2:19" ht="14.25">
      <c r="B1" s="3" t="s">
        <v>0</v>
      </c>
      <c r="G1" s="5"/>
      <c r="H1" s="5"/>
      <c r="I1" s="5"/>
      <c r="J1" s="5"/>
      <c r="K1" s="5"/>
      <c r="L1" s="5"/>
      <c r="S1" s="5"/>
    </row>
    <row r="2" spans="2:19" ht="14.25">
      <c r="B2" s="3" t="s">
        <v>1</v>
      </c>
      <c r="G2" s="5"/>
      <c r="H2" s="5"/>
      <c r="I2" s="5"/>
      <c r="J2" s="5"/>
      <c r="K2" s="5"/>
      <c r="L2" s="5"/>
      <c r="S2" s="5"/>
    </row>
    <row r="3" ht="14.25">
      <c r="B3" s="3" t="s">
        <v>579</v>
      </c>
    </row>
    <row r="4" spans="7:12" ht="14.25">
      <c r="G4" s="6" t="s">
        <v>2</v>
      </c>
      <c r="H4" s="6"/>
      <c r="I4" s="6"/>
      <c r="J4" s="6"/>
      <c r="K4" s="6"/>
      <c r="L4" s="6"/>
    </row>
    <row r="5" ht="14.25">
      <c r="B5" s="7"/>
    </row>
    <row r="8" spans="2:19" ht="14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/>
      <c r="I8" s="8" t="s">
        <v>9</v>
      </c>
      <c r="J8" s="8" t="s">
        <v>10</v>
      </c>
      <c r="K8" s="8" t="s">
        <v>11</v>
      </c>
      <c r="L8" s="8"/>
      <c r="M8" s="8" t="s">
        <v>12</v>
      </c>
      <c r="N8" s="8" t="s">
        <v>13</v>
      </c>
      <c r="O8" s="8" t="s">
        <v>14</v>
      </c>
      <c r="Q8" s="8" t="s">
        <v>15</v>
      </c>
      <c r="R8" s="8" t="s">
        <v>16</v>
      </c>
      <c r="S8" s="8" t="s">
        <v>17</v>
      </c>
    </row>
    <row r="10" spans="3:19" ht="14.25">
      <c r="C10" s="9" t="s">
        <v>18</v>
      </c>
      <c r="D10" s="9"/>
      <c r="E10" s="10" t="s">
        <v>19</v>
      </c>
      <c r="F10" s="9"/>
      <c r="G10" s="11" t="s">
        <v>20</v>
      </c>
      <c r="H10" s="11"/>
      <c r="I10" s="12" t="s">
        <v>21</v>
      </c>
      <c r="J10" s="9"/>
      <c r="K10" s="9"/>
      <c r="L10" s="11"/>
      <c r="M10" s="12" t="s">
        <v>530</v>
      </c>
      <c r="N10" s="9"/>
      <c r="O10" s="9"/>
      <c r="Q10" s="12" t="s">
        <v>580</v>
      </c>
      <c r="R10" s="9"/>
      <c r="S10" s="9"/>
    </row>
    <row r="11" spans="3:19" ht="14.25">
      <c r="C11" s="13"/>
      <c r="D11" s="13"/>
      <c r="G11" s="11" t="s">
        <v>22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4.25"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24</v>
      </c>
      <c r="H12" s="11"/>
      <c r="L12" s="11"/>
    </row>
    <row r="13" spans="2:19" ht="14.25">
      <c r="B13" s="8" t="s">
        <v>25</v>
      </c>
      <c r="C13" s="8" t="s">
        <v>531</v>
      </c>
      <c r="D13" s="8" t="s">
        <v>581</v>
      </c>
      <c r="E13" s="8" t="str">
        <f>C13</f>
        <v>OF 12-31-13</v>
      </c>
      <c r="F13" s="8" t="str">
        <f>D13</f>
        <v>OF 12-31-14</v>
      </c>
      <c r="G13" s="8" t="s">
        <v>26</v>
      </c>
      <c r="H13" s="8"/>
      <c r="I13" s="8" t="s">
        <v>27</v>
      </c>
      <c r="J13" s="8" t="s">
        <v>28</v>
      </c>
      <c r="K13" s="8" t="s">
        <v>29</v>
      </c>
      <c r="L13" s="8"/>
      <c r="M13" s="8" t="s">
        <v>27</v>
      </c>
      <c r="N13" s="8" t="s">
        <v>28</v>
      </c>
      <c r="O13" s="8" t="s">
        <v>29</v>
      </c>
      <c r="Q13" s="8" t="s">
        <v>27</v>
      </c>
      <c r="R13" s="8" t="s">
        <v>28</v>
      </c>
      <c r="S13" s="8" t="s">
        <v>29</v>
      </c>
    </row>
    <row r="15" spans="2:19" ht="14.25">
      <c r="B15" s="14" t="s">
        <v>30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9" ht="14.25">
      <c r="B16" s="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4.25">
      <c r="A17" s="17">
        <v>1</v>
      </c>
      <c r="B17" s="14" t="s">
        <v>31</v>
      </c>
      <c r="C17" s="15">
        <f>SUM(M17:O17)</f>
        <v>290874325.35</v>
      </c>
      <c r="D17" s="15">
        <f>SUM(Q17:S17)</f>
        <v>308697316.9</v>
      </c>
      <c r="E17" s="15"/>
      <c r="F17" s="15"/>
      <c r="G17" s="15">
        <f>ROUND(SUM(C17:F17)/2,0)</f>
        <v>299785821</v>
      </c>
      <c r="H17" s="15"/>
      <c r="I17" s="15">
        <f>(M17+Q17)/2</f>
        <v>299785821.125</v>
      </c>
      <c r="J17" s="15">
        <f>(N17+R17)/2</f>
        <v>0</v>
      </c>
      <c r="K17" s="15">
        <f>(O17+S17)/2</f>
        <v>0</v>
      </c>
      <c r="L17" s="15"/>
      <c r="M17" s="81">
        <f>234586134.35+56288191</f>
        <v>290874325.35</v>
      </c>
      <c r="N17" s="81">
        <v>0</v>
      </c>
      <c r="O17" s="81">
        <v>0</v>
      </c>
      <c r="P17" s="15"/>
      <c r="Q17" s="81">
        <v>308697316.9</v>
      </c>
      <c r="R17" s="81">
        <v>0</v>
      </c>
      <c r="S17" s="81">
        <v>0</v>
      </c>
    </row>
    <row r="18" spans="1:19" ht="14.25">
      <c r="A18" s="17">
        <f aca="true" t="shared" si="0" ref="A18:A81">A17+1</f>
        <v>2</v>
      </c>
      <c r="B18" s="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4.25">
      <c r="A19" s="17">
        <f t="shared" si="0"/>
        <v>3</v>
      </c>
      <c r="B19" s="5" t="s">
        <v>32</v>
      </c>
      <c r="C19" s="15">
        <v>0</v>
      </c>
      <c r="D19" s="15">
        <v>0</v>
      </c>
      <c r="E19" s="15">
        <f aca="true" t="shared" si="1" ref="E19:F21">-C19</f>
        <v>0</v>
      </c>
      <c r="F19" s="15">
        <f t="shared" si="1"/>
        <v>0</v>
      </c>
      <c r="G19" s="15">
        <f>ROUND(SUM(C19:F19)/2,0)</f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4.25">
      <c r="A20" s="17">
        <f t="shared" si="0"/>
        <v>4</v>
      </c>
      <c r="B20" s="5" t="s">
        <v>33</v>
      </c>
      <c r="C20" s="15">
        <v>0</v>
      </c>
      <c r="D20" s="15">
        <v>0</v>
      </c>
      <c r="E20" s="15">
        <f t="shared" si="1"/>
        <v>0</v>
      </c>
      <c r="F20" s="15">
        <f t="shared" si="1"/>
        <v>0</v>
      </c>
      <c r="G20" s="15">
        <f>ROUND(SUM(C20:F20)/2,0)</f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4.25">
      <c r="A21" s="17">
        <f t="shared" si="0"/>
        <v>5</v>
      </c>
      <c r="B21" s="5" t="s">
        <v>34</v>
      </c>
      <c r="C21" s="15">
        <v>0</v>
      </c>
      <c r="D21" s="15">
        <v>0</v>
      </c>
      <c r="E21" s="15">
        <f t="shared" si="1"/>
        <v>0</v>
      </c>
      <c r="F21" s="15">
        <f t="shared" si="1"/>
        <v>0</v>
      </c>
      <c r="G21" s="15">
        <f>ROUND(SUM(C21:F21)/2,0)</f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4.25">
      <c r="A22" s="17">
        <f t="shared" si="0"/>
        <v>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5" thickBot="1">
      <c r="A23" s="17">
        <f t="shared" si="0"/>
        <v>7</v>
      </c>
      <c r="B23" s="14" t="s">
        <v>35</v>
      </c>
      <c r="C23" s="18">
        <f>SUM(C17:C22)</f>
        <v>290874325.35</v>
      </c>
      <c r="D23" s="18">
        <f>SUM(D17:D22)</f>
        <v>308697316.9</v>
      </c>
      <c r="E23" s="18">
        <f>SUM(E17:E22)</f>
        <v>0</v>
      </c>
      <c r="F23" s="18">
        <f>SUM(F17:F22)</f>
        <v>0</v>
      </c>
      <c r="G23" s="18">
        <f>SUM(G17:G22)</f>
        <v>299785821</v>
      </c>
      <c r="H23" s="18"/>
      <c r="I23" s="18">
        <f>SUM(I17:I22)</f>
        <v>299785821.125</v>
      </c>
      <c r="J23" s="18">
        <f>SUM(J17:J22)</f>
        <v>0</v>
      </c>
      <c r="K23" s="18">
        <f>SUM(K17:K22)</f>
        <v>0</v>
      </c>
      <c r="L23" s="18"/>
      <c r="M23" s="18">
        <f>SUM(M17:M22)</f>
        <v>290874325.35</v>
      </c>
      <c r="N23" s="18">
        <f>SUM(N17:N22)</f>
        <v>0</v>
      </c>
      <c r="O23" s="18">
        <f>SUM(O17:O22)</f>
        <v>0</v>
      </c>
      <c r="P23" s="15"/>
      <c r="Q23" s="18">
        <f>SUM(Q17:Q22)</f>
        <v>308697316.9</v>
      </c>
      <c r="R23" s="18">
        <f>SUM(R17:R22)</f>
        <v>0</v>
      </c>
      <c r="S23" s="18">
        <f>SUM(S17:S22)</f>
        <v>0</v>
      </c>
    </row>
    <row r="24" spans="1:19" ht="15" thickTop="1">
      <c r="A24" s="17">
        <f t="shared" si="0"/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9"/>
      <c r="R24" s="19"/>
      <c r="S24" s="19"/>
    </row>
    <row r="25" spans="1:19" ht="14.25">
      <c r="A25" s="17">
        <f t="shared" si="0"/>
        <v>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4.25">
      <c r="A26" s="17">
        <f t="shared" si="0"/>
        <v>10</v>
      </c>
      <c r="B26" s="5" t="s">
        <v>36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4.25">
      <c r="A27" s="17">
        <f t="shared" si="0"/>
        <v>11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4.25">
      <c r="A28" s="17">
        <f t="shared" si="0"/>
        <v>12</v>
      </c>
      <c r="B28" s="14" t="s">
        <v>37</v>
      </c>
      <c r="C28" s="15">
        <f aca="true" t="shared" si="2" ref="C28:C61">SUM(M28:O28)</f>
        <v>1140745471.21</v>
      </c>
      <c r="D28" s="15">
        <f aca="true" t="shared" si="3" ref="D28:D61">SUM(Q28:S28)</f>
        <v>1213926197.37</v>
      </c>
      <c r="E28" s="15"/>
      <c r="F28" s="15"/>
      <c r="G28" s="15">
        <f aca="true" t="shared" si="4" ref="G28:G49">ROUND(SUM(C28:F28)/2,0)</f>
        <v>1177335834</v>
      </c>
      <c r="H28" s="15"/>
      <c r="I28" s="15">
        <f aca="true" t="shared" si="5" ref="I28:K62">(M28+Q28)/2</f>
        <v>413040363.075</v>
      </c>
      <c r="J28" s="15">
        <f t="shared" si="5"/>
        <v>319784021.85</v>
      </c>
      <c r="K28" s="15">
        <f t="shared" si="5"/>
        <v>444511449.365</v>
      </c>
      <c r="L28" s="15"/>
      <c r="M28" s="82">
        <f>794515.86+99707+909275+231410+265417674.85+40603+721818+19956623.4+119091013</f>
        <v>407262640.11</v>
      </c>
      <c r="N28" s="82">
        <f>2.43-43991.91-33501+269861449.55+1644546+1052723+29936469.8</f>
        <v>302417697.87</v>
      </c>
      <c r="O28" s="82">
        <f>48310.94+9608+11826.24+2133+360889571.15+273+835189.1+69268221.8</f>
        <v>431065133.23</v>
      </c>
      <c r="P28" s="15"/>
      <c r="Q28" s="82">
        <v>418818086.03999996</v>
      </c>
      <c r="R28" s="82">
        <v>337150345.83</v>
      </c>
      <c r="S28" s="82">
        <v>457957765.50000006</v>
      </c>
    </row>
    <row r="29" spans="1:19" ht="14.25">
      <c r="A29" s="17">
        <f t="shared" si="0"/>
        <v>13</v>
      </c>
      <c r="B29" s="5" t="s">
        <v>38</v>
      </c>
      <c r="C29" s="15">
        <f>SUM(M29:O29)</f>
        <v>0</v>
      </c>
      <c r="D29" s="15">
        <f>SUM(Q29:S29)</f>
        <v>0</v>
      </c>
      <c r="E29" s="15"/>
      <c r="F29" s="15"/>
      <c r="G29" s="15">
        <f t="shared" si="4"/>
        <v>0</v>
      </c>
      <c r="H29" s="15"/>
      <c r="I29" s="15">
        <f t="shared" si="5"/>
        <v>0</v>
      </c>
      <c r="J29" s="15">
        <f t="shared" si="5"/>
        <v>0</v>
      </c>
      <c r="K29" s="15">
        <f t="shared" si="5"/>
        <v>0</v>
      </c>
      <c r="L29" s="15"/>
      <c r="M29" s="82">
        <v>0</v>
      </c>
      <c r="N29" s="82">
        <v>0</v>
      </c>
      <c r="O29" s="82">
        <v>0</v>
      </c>
      <c r="P29" s="15"/>
      <c r="Q29" s="82">
        <v>0</v>
      </c>
      <c r="R29" s="82">
        <v>0</v>
      </c>
      <c r="S29" s="82">
        <v>0</v>
      </c>
    </row>
    <row r="30" spans="1:19" ht="14.25">
      <c r="A30" s="17">
        <f t="shared" si="0"/>
        <v>14</v>
      </c>
      <c r="B30" s="14" t="s">
        <v>217</v>
      </c>
      <c r="C30" s="15">
        <f t="shared" si="2"/>
        <v>1811498.12</v>
      </c>
      <c r="D30" s="15">
        <f t="shared" si="3"/>
        <v>1449902.97</v>
      </c>
      <c r="E30" s="15"/>
      <c r="F30" s="15"/>
      <c r="G30" s="15">
        <f t="shared" si="4"/>
        <v>1630701</v>
      </c>
      <c r="H30" s="15"/>
      <c r="I30" s="15">
        <f t="shared" si="5"/>
        <v>510340.57</v>
      </c>
      <c r="J30" s="15">
        <f t="shared" si="5"/>
        <v>688291.625</v>
      </c>
      <c r="K30" s="15">
        <f t="shared" si="5"/>
        <v>432068.35</v>
      </c>
      <c r="L30" s="15"/>
      <c r="M30" s="82">
        <v>566922.62</v>
      </c>
      <c r="N30" s="82">
        <v>764603.35</v>
      </c>
      <c r="O30" s="82">
        <v>479972.15</v>
      </c>
      <c r="P30" s="15"/>
      <c r="Q30" s="82">
        <v>453758.52</v>
      </c>
      <c r="R30" s="82">
        <v>611979.9</v>
      </c>
      <c r="S30" s="82">
        <v>384164.55</v>
      </c>
    </row>
    <row r="31" spans="1:19" ht="14.25">
      <c r="A31" s="17">
        <f t="shared" si="0"/>
        <v>15</v>
      </c>
      <c r="B31" s="14" t="s">
        <v>218</v>
      </c>
      <c r="C31" s="15">
        <f>SUM(M31:O31)</f>
        <v>347355.05</v>
      </c>
      <c r="D31" s="15">
        <f>SUM(Q31:S31)</f>
        <v>281079.4</v>
      </c>
      <c r="E31" s="15"/>
      <c r="F31" s="15"/>
      <c r="G31" s="15">
        <f t="shared" si="4"/>
        <v>314217</v>
      </c>
      <c r="H31" s="15"/>
      <c r="I31" s="15">
        <f t="shared" si="5"/>
        <v>0</v>
      </c>
      <c r="J31" s="15">
        <f t="shared" si="5"/>
        <v>0</v>
      </c>
      <c r="K31" s="15">
        <f t="shared" si="5"/>
        <v>314217.225</v>
      </c>
      <c r="L31" s="15"/>
      <c r="M31" s="82">
        <v>0</v>
      </c>
      <c r="N31" s="82">
        <v>0</v>
      </c>
      <c r="O31" s="82">
        <v>347355.05</v>
      </c>
      <c r="P31" s="15"/>
      <c r="Q31" s="82">
        <v>0</v>
      </c>
      <c r="R31" s="82">
        <v>0</v>
      </c>
      <c r="S31" s="82">
        <v>281079.4</v>
      </c>
    </row>
    <row r="32" spans="1:19" ht="14.25">
      <c r="A32" s="17">
        <f t="shared" si="0"/>
        <v>16</v>
      </c>
      <c r="B32" s="14" t="s">
        <v>219</v>
      </c>
      <c r="C32" s="15">
        <f t="shared" si="2"/>
        <v>213874.40000000002</v>
      </c>
      <c r="D32" s="15">
        <f t="shared" si="3"/>
        <v>166086.5</v>
      </c>
      <c r="E32" s="15"/>
      <c r="F32" s="15"/>
      <c r="G32" s="15">
        <f t="shared" si="4"/>
        <v>189980</v>
      </c>
      <c r="H32" s="15"/>
      <c r="I32" s="15">
        <f t="shared" si="5"/>
        <v>0</v>
      </c>
      <c r="J32" s="15">
        <f t="shared" si="5"/>
        <v>189980.35</v>
      </c>
      <c r="K32" s="15">
        <f t="shared" si="5"/>
        <v>0.1</v>
      </c>
      <c r="L32" s="15"/>
      <c r="M32" s="82">
        <v>0</v>
      </c>
      <c r="N32" s="82">
        <v>213874.2</v>
      </c>
      <c r="O32" s="82">
        <v>0.2</v>
      </c>
      <c r="P32" s="15"/>
      <c r="Q32" s="82">
        <v>0</v>
      </c>
      <c r="R32" s="82">
        <v>166086.5</v>
      </c>
      <c r="S32" s="82">
        <v>0</v>
      </c>
    </row>
    <row r="33" spans="1:19" ht="14.25">
      <c r="A33" s="17">
        <f t="shared" si="0"/>
        <v>17</v>
      </c>
      <c r="B33" s="14" t="s">
        <v>39</v>
      </c>
      <c r="C33" s="15">
        <f aca="true" t="shared" si="6" ref="C33:C38">SUM(M33:O33)</f>
        <v>10649556.4</v>
      </c>
      <c r="D33" s="15">
        <f aca="true" t="shared" si="7" ref="D33:D38">SUM(Q33:S33)</f>
        <v>3537811.44</v>
      </c>
      <c r="E33" s="15"/>
      <c r="F33" s="15"/>
      <c r="G33" s="15">
        <f t="shared" si="4"/>
        <v>7093684</v>
      </c>
      <c r="H33" s="15"/>
      <c r="I33" s="15">
        <f t="shared" si="5"/>
        <v>6732133.045</v>
      </c>
      <c r="J33" s="15">
        <f t="shared" si="5"/>
        <v>24827.075</v>
      </c>
      <c r="K33" s="15">
        <f t="shared" si="5"/>
        <v>336723.8</v>
      </c>
      <c r="L33" s="15"/>
      <c r="M33" s="82">
        <v>10312832.6</v>
      </c>
      <c r="N33" s="82">
        <v>0</v>
      </c>
      <c r="O33" s="82">
        <v>336723.8</v>
      </c>
      <c r="P33" s="15"/>
      <c r="Q33" s="82">
        <v>3151433.49</v>
      </c>
      <c r="R33" s="82">
        <v>49654.15</v>
      </c>
      <c r="S33" s="82">
        <v>336723.8</v>
      </c>
    </row>
    <row r="34" spans="1:19" ht="14.25">
      <c r="A34" s="17">
        <f t="shared" si="0"/>
        <v>18</v>
      </c>
      <c r="B34" s="14" t="s">
        <v>220</v>
      </c>
      <c r="C34" s="15">
        <f t="shared" si="6"/>
        <v>7408471.279999999</v>
      </c>
      <c r="D34" s="15">
        <f t="shared" si="7"/>
        <v>17402109.86</v>
      </c>
      <c r="E34" s="15"/>
      <c r="F34" s="15"/>
      <c r="G34" s="15">
        <f t="shared" si="4"/>
        <v>12405291</v>
      </c>
      <c r="H34" s="15"/>
      <c r="I34" s="15">
        <f t="shared" si="5"/>
        <v>12158182.32</v>
      </c>
      <c r="J34" s="15">
        <f t="shared" si="5"/>
        <v>-354.83</v>
      </c>
      <c r="K34" s="15">
        <f t="shared" si="5"/>
        <v>247463.08000000002</v>
      </c>
      <c r="L34" s="15"/>
      <c r="M34" s="82">
        <f>2088261.39+5070064</f>
        <v>7158325.39</v>
      </c>
      <c r="N34" s="82">
        <v>-323.96</v>
      </c>
      <c r="O34" s="82">
        <v>250469.85</v>
      </c>
      <c r="P34" s="15"/>
      <c r="Q34" s="82">
        <v>17158039.25</v>
      </c>
      <c r="R34" s="82">
        <v>-385.7</v>
      </c>
      <c r="S34" s="82">
        <v>244456.31</v>
      </c>
    </row>
    <row r="35" spans="1:19" ht="14.25">
      <c r="A35" s="17">
        <f t="shared" si="0"/>
        <v>19</v>
      </c>
      <c r="B35" s="14" t="s">
        <v>40</v>
      </c>
      <c r="C35" s="15">
        <f t="shared" si="6"/>
        <v>-2239124.99</v>
      </c>
      <c r="D35" s="15">
        <f t="shared" si="7"/>
        <v>-2239124.99</v>
      </c>
      <c r="E35" s="15"/>
      <c r="F35" s="15"/>
      <c r="G35" s="15">
        <f t="shared" si="4"/>
        <v>-2239125</v>
      </c>
      <c r="H35" s="15"/>
      <c r="I35" s="15">
        <f t="shared" si="5"/>
        <v>-2239124.99</v>
      </c>
      <c r="J35" s="15">
        <f t="shared" si="5"/>
        <v>0</v>
      </c>
      <c r="K35" s="15">
        <f t="shared" si="5"/>
        <v>0</v>
      </c>
      <c r="L35" s="15"/>
      <c r="M35" s="82">
        <v>-2239124.99</v>
      </c>
      <c r="N35" s="82">
        <v>0</v>
      </c>
      <c r="O35" s="82">
        <v>0</v>
      </c>
      <c r="P35" s="15"/>
      <c r="Q35" s="82">
        <v>-2239124.99</v>
      </c>
      <c r="R35" s="82">
        <v>0</v>
      </c>
      <c r="S35" s="82">
        <v>0</v>
      </c>
    </row>
    <row r="36" spans="1:19" ht="14.25">
      <c r="A36" s="17">
        <f t="shared" si="0"/>
        <v>20</v>
      </c>
      <c r="B36" s="14" t="s">
        <v>41</v>
      </c>
      <c r="C36" s="15">
        <f t="shared" si="6"/>
        <v>29253849.950000003</v>
      </c>
      <c r="D36" s="15">
        <f t="shared" si="7"/>
        <v>27524553.950000003</v>
      </c>
      <c r="E36" s="15"/>
      <c r="F36" s="15"/>
      <c r="G36" s="15">
        <f t="shared" si="4"/>
        <v>28389202</v>
      </c>
      <c r="H36" s="15"/>
      <c r="I36" s="15">
        <f t="shared" si="5"/>
        <v>28389201.950000003</v>
      </c>
      <c r="J36" s="15">
        <f t="shared" si="5"/>
        <v>0</v>
      </c>
      <c r="K36" s="15">
        <f t="shared" si="5"/>
        <v>0</v>
      </c>
      <c r="L36" s="15"/>
      <c r="M36" s="82">
        <f>63845250.95-34591401</f>
        <v>29253849.950000003</v>
      </c>
      <c r="N36" s="82">
        <v>0</v>
      </c>
      <c r="O36" s="82">
        <v>0</v>
      </c>
      <c r="P36" s="15"/>
      <c r="Q36" s="82">
        <v>27524553.950000003</v>
      </c>
      <c r="R36" s="82">
        <v>0</v>
      </c>
      <c r="S36" s="82">
        <v>0</v>
      </c>
    </row>
    <row r="37" spans="1:19" ht="14.25">
      <c r="A37" s="17">
        <f t="shared" si="0"/>
        <v>21</v>
      </c>
      <c r="B37" s="14" t="s">
        <v>42</v>
      </c>
      <c r="C37" s="15">
        <f t="shared" si="6"/>
        <v>85927589.5</v>
      </c>
      <c r="D37" s="15">
        <f t="shared" si="7"/>
        <v>104011810.9</v>
      </c>
      <c r="E37" s="15"/>
      <c r="F37" s="15"/>
      <c r="G37" s="15">
        <f t="shared" si="4"/>
        <v>94969700</v>
      </c>
      <c r="H37" s="15"/>
      <c r="I37" s="15">
        <f t="shared" si="5"/>
        <v>34115515.775</v>
      </c>
      <c r="J37" s="15">
        <f t="shared" si="5"/>
        <v>8418875.075</v>
      </c>
      <c r="K37" s="15">
        <f t="shared" si="5"/>
        <v>52435309.35</v>
      </c>
      <c r="L37" s="15"/>
      <c r="M37" s="82">
        <f>32549768.05-5587818</f>
        <v>26961950.05</v>
      </c>
      <c r="N37" s="82">
        <f>12780412.25-4402621</f>
        <v>8377791.25</v>
      </c>
      <c r="O37" s="82">
        <f>68125866.2-17538018</f>
        <v>50587848.2</v>
      </c>
      <c r="P37" s="15"/>
      <c r="Q37" s="82">
        <v>41269081.5</v>
      </c>
      <c r="R37" s="82">
        <v>8459958.9</v>
      </c>
      <c r="S37" s="82">
        <v>54282770.5</v>
      </c>
    </row>
    <row r="38" spans="1:19" ht="14.25">
      <c r="A38" s="17">
        <f t="shared" si="0"/>
        <v>22</v>
      </c>
      <c r="B38" s="14" t="s">
        <v>221</v>
      </c>
      <c r="C38" s="15">
        <f t="shared" si="6"/>
        <v>-11537150.04</v>
      </c>
      <c r="D38" s="15">
        <f t="shared" si="7"/>
        <v>-10516419.49</v>
      </c>
      <c r="E38" s="15"/>
      <c r="F38" s="15"/>
      <c r="G38" s="15">
        <f t="shared" si="4"/>
        <v>-11026785</v>
      </c>
      <c r="H38" s="15"/>
      <c r="I38" s="15">
        <f t="shared" si="5"/>
        <v>-11026784.765</v>
      </c>
      <c r="J38" s="15">
        <f t="shared" si="5"/>
        <v>0</v>
      </c>
      <c r="K38" s="15">
        <f t="shared" si="5"/>
        <v>0</v>
      </c>
      <c r="L38" s="15"/>
      <c r="M38" s="82">
        <v>-11537150.04</v>
      </c>
      <c r="N38" s="82">
        <v>0</v>
      </c>
      <c r="O38" s="82">
        <v>0</v>
      </c>
      <c r="P38" s="15"/>
      <c r="Q38" s="82">
        <v>-10516419.49</v>
      </c>
      <c r="R38" s="82">
        <v>0</v>
      </c>
      <c r="S38" s="82">
        <v>0</v>
      </c>
    </row>
    <row r="39" spans="1:19" ht="14.25">
      <c r="A39" s="17">
        <f t="shared" si="0"/>
        <v>23</v>
      </c>
      <c r="B39" s="14" t="s">
        <v>43</v>
      </c>
      <c r="C39" s="15">
        <f t="shared" si="2"/>
        <v>1316642.93</v>
      </c>
      <c r="D39" s="15">
        <f t="shared" si="3"/>
        <v>1288316.45</v>
      </c>
      <c r="E39" s="15"/>
      <c r="F39" s="15"/>
      <c r="G39" s="15">
        <f t="shared" si="4"/>
        <v>1302480</v>
      </c>
      <c r="H39" s="15"/>
      <c r="I39" s="15">
        <f t="shared" si="5"/>
        <v>1299153.69</v>
      </c>
      <c r="J39" s="15">
        <f t="shared" si="5"/>
        <v>1242</v>
      </c>
      <c r="K39" s="15">
        <f t="shared" si="5"/>
        <v>2084</v>
      </c>
      <c r="L39" s="15"/>
      <c r="M39" s="82">
        <f>1697382.93-385352</f>
        <v>1312030.93</v>
      </c>
      <c r="N39" s="82">
        <f>59082-57359</f>
        <v>1723</v>
      </c>
      <c r="O39" s="82">
        <f>99877-96988</f>
        <v>2889</v>
      </c>
      <c r="P39" s="15"/>
      <c r="Q39" s="82">
        <v>1286276.45</v>
      </c>
      <c r="R39" s="82">
        <v>761</v>
      </c>
      <c r="S39" s="82">
        <v>1279</v>
      </c>
    </row>
    <row r="40" spans="1:19" ht="14.25">
      <c r="A40" s="17">
        <f t="shared" si="0"/>
        <v>24</v>
      </c>
      <c r="B40" s="14" t="s">
        <v>44</v>
      </c>
      <c r="C40" s="15">
        <f t="shared" si="2"/>
        <v>1138301.69</v>
      </c>
      <c r="D40" s="15">
        <f t="shared" si="3"/>
        <v>1202361.83</v>
      </c>
      <c r="E40" s="15"/>
      <c r="F40" s="15"/>
      <c r="G40" s="15">
        <f t="shared" si="4"/>
        <v>1170332</v>
      </c>
      <c r="H40" s="15"/>
      <c r="I40" s="15">
        <f t="shared" si="5"/>
        <v>0</v>
      </c>
      <c r="J40" s="15">
        <f t="shared" si="5"/>
        <v>1170331.76</v>
      </c>
      <c r="K40" s="15">
        <f t="shared" si="5"/>
        <v>0</v>
      </c>
      <c r="L40" s="15"/>
      <c r="M40" s="82">
        <v>0</v>
      </c>
      <c r="N40" s="82">
        <f>1894640.69-756339</f>
        <v>1138301.69</v>
      </c>
      <c r="O40" s="82">
        <v>0</v>
      </c>
      <c r="P40" s="15"/>
      <c r="Q40" s="82">
        <v>0</v>
      </c>
      <c r="R40" s="82">
        <v>1202361.83</v>
      </c>
      <c r="S40" s="82">
        <v>0</v>
      </c>
    </row>
    <row r="41" spans="1:19" ht="14.25">
      <c r="A41" s="17">
        <f t="shared" si="0"/>
        <v>25</v>
      </c>
      <c r="B41" s="14" t="s">
        <v>45</v>
      </c>
      <c r="C41" s="15">
        <f t="shared" si="2"/>
        <v>21676</v>
      </c>
      <c r="D41" s="15">
        <f t="shared" si="3"/>
        <v>19553</v>
      </c>
      <c r="E41" s="15"/>
      <c r="F41" s="15"/>
      <c r="G41" s="15">
        <f t="shared" si="4"/>
        <v>20615</v>
      </c>
      <c r="H41" s="15"/>
      <c r="I41" s="15">
        <f t="shared" si="5"/>
        <v>0</v>
      </c>
      <c r="J41" s="15">
        <f t="shared" si="5"/>
        <v>7462.5</v>
      </c>
      <c r="K41" s="15">
        <f t="shared" si="5"/>
        <v>13152</v>
      </c>
      <c r="L41" s="15"/>
      <c r="M41" s="82">
        <v>0</v>
      </c>
      <c r="N41" s="82">
        <f>23373-15520</f>
        <v>7853</v>
      </c>
      <c r="O41" s="82">
        <f>40261-26438</f>
        <v>13823</v>
      </c>
      <c r="P41" s="15"/>
      <c r="Q41" s="82">
        <v>0</v>
      </c>
      <c r="R41" s="82">
        <v>7072</v>
      </c>
      <c r="S41" s="82">
        <v>12481</v>
      </c>
    </row>
    <row r="42" spans="1:19" ht="14.25">
      <c r="A42" s="17">
        <f t="shared" si="0"/>
        <v>26</v>
      </c>
      <c r="B42" s="14" t="s">
        <v>46</v>
      </c>
      <c r="C42" s="15">
        <f t="shared" si="2"/>
        <v>2939.2299999999996</v>
      </c>
      <c r="D42" s="15">
        <f t="shared" si="3"/>
        <v>3237.5600000000004</v>
      </c>
      <c r="E42" s="15"/>
      <c r="F42" s="15"/>
      <c r="G42" s="15">
        <f t="shared" si="4"/>
        <v>3088</v>
      </c>
      <c r="H42" s="15"/>
      <c r="I42" s="15">
        <f t="shared" si="5"/>
        <v>0</v>
      </c>
      <c r="J42" s="15">
        <f t="shared" si="5"/>
        <v>0</v>
      </c>
      <c r="K42" s="15">
        <f t="shared" si="5"/>
        <v>3088.395</v>
      </c>
      <c r="L42" s="15"/>
      <c r="M42" s="82">
        <v>0</v>
      </c>
      <c r="N42" s="82">
        <v>0</v>
      </c>
      <c r="O42" s="82">
        <f>4408.23-1469</f>
        <v>2939.2299999999996</v>
      </c>
      <c r="P42" s="15"/>
      <c r="Q42" s="82">
        <v>0</v>
      </c>
      <c r="R42" s="82">
        <v>0</v>
      </c>
      <c r="S42" s="82">
        <v>3237.5600000000004</v>
      </c>
    </row>
    <row r="43" spans="1:19" ht="14.25">
      <c r="A43" s="17">
        <f t="shared" si="0"/>
        <v>27</v>
      </c>
      <c r="B43" s="14" t="s">
        <v>232</v>
      </c>
      <c r="C43" s="15">
        <f t="shared" si="2"/>
        <v>26994</v>
      </c>
      <c r="D43" s="15">
        <f t="shared" si="3"/>
        <v>12104</v>
      </c>
      <c r="E43" s="15"/>
      <c r="F43" s="15"/>
      <c r="G43" s="15">
        <f t="shared" si="4"/>
        <v>19549</v>
      </c>
      <c r="H43" s="15"/>
      <c r="I43" s="15">
        <f t="shared" si="5"/>
        <v>0</v>
      </c>
      <c r="J43" s="15">
        <f t="shared" si="5"/>
        <v>7303</v>
      </c>
      <c r="K43" s="15">
        <f t="shared" si="5"/>
        <v>12246</v>
      </c>
      <c r="L43" s="15"/>
      <c r="M43" s="82">
        <v>0</v>
      </c>
      <c r="N43" s="82">
        <f>629080-618996</f>
        <v>10084</v>
      </c>
      <c r="O43" s="82">
        <f>1054778-1037868</f>
        <v>16910</v>
      </c>
      <c r="P43" s="15"/>
      <c r="Q43" s="82">
        <v>0</v>
      </c>
      <c r="R43" s="82">
        <v>4522</v>
      </c>
      <c r="S43" s="82">
        <v>7582</v>
      </c>
    </row>
    <row r="44" spans="1:19" ht="14.25">
      <c r="A44" s="17">
        <f t="shared" si="0"/>
        <v>28</v>
      </c>
      <c r="B44" s="14" t="s">
        <v>238</v>
      </c>
      <c r="C44" s="15">
        <f t="shared" si="2"/>
        <v>2067</v>
      </c>
      <c r="D44" s="15">
        <f t="shared" si="3"/>
        <v>-196</v>
      </c>
      <c r="E44" s="15"/>
      <c r="F44" s="15"/>
      <c r="G44" s="15">
        <f t="shared" si="4"/>
        <v>936</v>
      </c>
      <c r="H44" s="15"/>
      <c r="I44" s="15">
        <f t="shared" si="5"/>
        <v>0</v>
      </c>
      <c r="J44" s="15">
        <f t="shared" si="5"/>
        <v>349.5</v>
      </c>
      <c r="K44" s="15">
        <f t="shared" si="5"/>
        <v>586</v>
      </c>
      <c r="L44" s="15"/>
      <c r="M44" s="82">
        <v>0</v>
      </c>
      <c r="N44" s="82">
        <f>273853-273081</f>
        <v>772</v>
      </c>
      <c r="O44" s="82">
        <f>459159-457864</f>
        <v>1295</v>
      </c>
      <c r="P44" s="15"/>
      <c r="Q44" s="82">
        <v>0</v>
      </c>
      <c r="R44" s="82">
        <v>-73</v>
      </c>
      <c r="S44" s="82">
        <v>-123</v>
      </c>
    </row>
    <row r="45" spans="1:19" ht="14.25">
      <c r="A45" s="17">
        <f t="shared" si="0"/>
        <v>29</v>
      </c>
      <c r="B45" s="14" t="s">
        <v>47</v>
      </c>
      <c r="C45" s="15">
        <f t="shared" si="2"/>
        <v>-70199.35</v>
      </c>
      <c r="D45" s="15">
        <f t="shared" si="3"/>
        <v>-70199.35</v>
      </c>
      <c r="E45" s="15"/>
      <c r="F45" s="15"/>
      <c r="G45" s="15">
        <f t="shared" si="4"/>
        <v>-70199</v>
      </c>
      <c r="H45" s="15"/>
      <c r="I45" s="15">
        <f t="shared" si="5"/>
        <v>-65939.45</v>
      </c>
      <c r="J45" s="15">
        <f t="shared" si="5"/>
        <v>-2021.55</v>
      </c>
      <c r="K45" s="15">
        <f t="shared" si="5"/>
        <v>-2238.35</v>
      </c>
      <c r="L45" s="15"/>
      <c r="M45" s="82">
        <v>-65939.45</v>
      </c>
      <c r="N45" s="82">
        <v>-2021.55</v>
      </c>
      <c r="O45" s="82">
        <v>-2238.35</v>
      </c>
      <c r="P45" s="15"/>
      <c r="Q45" s="82">
        <v>-65939.45</v>
      </c>
      <c r="R45" s="82">
        <v>-2021.55</v>
      </c>
      <c r="S45" s="82">
        <v>-2238.35</v>
      </c>
    </row>
    <row r="46" spans="1:19" ht="14.25">
      <c r="A46" s="17">
        <f t="shared" si="0"/>
        <v>30</v>
      </c>
      <c r="B46" s="14" t="s">
        <v>243</v>
      </c>
      <c r="C46" s="15">
        <f t="shared" si="2"/>
        <v>7412</v>
      </c>
      <c r="D46" s="15">
        <f t="shared" si="3"/>
        <v>3294</v>
      </c>
      <c r="E46" s="15"/>
      <c r="F46" s="15"/>
      <c r="G46" s="15">
        <f t="shared" si="4"/>
        <v>5353</v>
      </c>
      <c r="H46" s="15"/>
      <c r="I46" s="15">
        <f t="shared" si="5"/>
        <v>0</v>
      </c>
      <c r="J46" s="15">
        <f t="shared" si="5"/>
        <v>2000.5</v>
      </c>
      <c r="K46" s="15">
        <f t="shared" si="5"/>
        <v>3352.5</v>
      </c>
      <c r="L46" s="15"/>
      <c r="M46" s="82">
        <v>0</v>
      </c>
      <c r="N46" s="82">
        <f>146852-144083</f>
        <v>2769</v>
      </c>
      <c r="O46" s="82">
        <f>246227-241584</f>
        <v>4643</v>
      </c>
      <c r="P46" s="15"/>
      <c r="Q46" s="82">
        <v>0</v>
      </c>
      <c r="R46" s="82">
        <v>1232</v>
      </c>
      <c r="S46" s="82">
        <v>2062</v>
      </c>
    </row>
    <row r="47" spans="1:19" ht="14.25">
      <c r="A47" s="17">
        <f t="shared" si="0"/>
        <v>31</v>
      </c>
      <c r="B47" s="14" t="s">
        <v>48</v>
      </c>
      <c r="C47" s="15">
        <f t="shared" si="2"/>
        <v>21496486.02</v>
      </c>
      <c r="D47" s="15">
        <f t="shared" si="3"/>
        <v>20248086.02</v>
      </c>
      <c r="E47" s="15"/>
      <c r="F47" s="15"/>
      <c r="G47" s="15">
        <f t="shared" si="4"/>
        <v>20872286</v>
      </c>
      <c r="H47" s="15"/>
      <c r="I47" s="15">
        <f t="shared" si="5"/>
        <v>13757564.809999999</v>
      </c>
      <c r="J47" s="15">
        <f t="shared" si="5"/>
        <v>2385821.41</v>
      </c>
      <c r="K47" s="15">
        <f t="shared" si="5"/>
        <v>4728899.800000001</v>
      </c>
      <c r="L47" s="15"/>
      <c r="M47" s="82">
        <f>19781115.31-5693867</f>
        <v>14087248.309999999</v>
      </c>
      <c r="N47" s="82">
        <f>7691586.91-5205927</f>
        <v>2485659.91</v>
      </c>
      <c r="O47" s="82">
        <f>15184327.8-10260750</f>
        <v>4923577.800000001</v>
      </c>
      <c r="P47" s="15"/>
      <c r="Q47" s="82">
        <v>13427881.309999999</v>
      </c>
      <c r="R47" s="82">
        <v>2285982.91</v>
      </c>
      <c r="S47" s="82">
        <v>4534221.800000001</v>
      </c>
    </row>
    <row r="48" spans="1:19" ht="14.25">
      <c r="A48" s="17">
        <f t="shared" si="0"/>
        <v>32</v>
      </c>
      <c r="B48" s="14" t="s">
        <v>49</v>
      </c>
      <c r="C48" s="15">
        <f>SUM(M48:O48)</f>
        <v>88256001.05</v>
      </c>
      <c r="D48" s="15">
        <f>SUM(Q48:S48)</f>
        <v>104703396.35</v>
      </c>
      <c r="E48" s="15"/>
      <c r="F48" s="15"/>
      <c r="G48" s="15">
        <f t="shared" si="4"/>
        <v>96479699</v>
      </c>
      <c r="H48" s="15"/>
      <c r="I48" s="15">
        <f t="shared" si="5"/>
        <v>96479698.69999999</v>
      </c>
      <c r="J48" s="15">
        <f t="shared" si="5"/>
        <v>0</v>
      </c>
      <c r="K48" s="15">
        <f t="shared" si="5"/>
        <v>0</v>
      </c>
      <c r="L48" s="15"/>
      <c r="M48" s="82">
        <v>88256001.05</v>
      </c>
      <c r="N48" s="82">
        <v>0</v>
      </c>
      <c r="O48" s="82">
        <v>0</v>
      </c>
      <c r="P48" s="15"/>
      <c r="Q48" s="82">
        <v>104703396.35</v>
      </c>
      <c r="R48" s="82">
        <v>0</v>
      </c>
      <c r="S48" s="82">
        <v>0</v>
      </c>
    </row>
    <row r="49" spans="1:19" ht="14.25">
      <c r="A49" s="17">
        <f t="shared" si="0"/>
        <v>33</v>
      </c>
      <c r="B49" s="14" t="s">
        <v>50</v>
      </c>
      <c r="C49" s="15">
        <f>SUM(M49:O49)</f>
        <v>90913921.35</v>
      </c>
      <c r="D49" s="15">
        <f>SUM(Q49:S49)</f>
        <v>85008571.9</v>
      </c>
      <c r="E49" s="15"/>
      <c r="F49" s="15"/>
      <c r="G49" s="15">
        <f t="shared" si="4"/>
        <v>87961247</v>
      </c>
      <c r="H49" s="15"/>
      <c r="I49" s="15">
        <f t="shared" si="5"/>
        <v>87961246.625</v>
      </c>
      <c r="J49" s="15">
        <f t="shared" si="5"/>
        <v>0</v>
      </c>
      <c r="K49" s="15">
        <f t="shared" si="5"/>
        <v>0</v>
      </c>
      <c r="L49" s="15"/>
      <c r="M49" s="82">
        <v>90913921.35</v>
      </c>
      <c r="N49" s="82">
        <v>0</v>
      </c>
      <c r="O49" s="82">
        <v>0</v>
      </c>
      <c r="P49" s="15"/>
      <c r="Q49" s="82">
        <v>85008571.9</v>
      </c>
      <c r="R49" s="82">
        <v>0</v>
      </c>
      <c r="S49" s="82">
        <v>0</v>
      </c>
    </row>
    <row r="50" spans="1:19" ht="14.25">
      <c r="A50" s="17">
        <f t="shared" si="0"/>
        <v>34</v>
      </c>
      <c r="B50" s="14" t="s">
        <v>51</v>
      </c>
      <c r="C50" s="15">
        <f>SUM(M50:O50)</f>
        <v>3260889.9499999997</v>
      </c>
      <c r="D50" s="15">
        <f>SUM(Q50:S50)</f>
        <v>3722963.55</v>
      </c>
      <c r="E50" s="15"/>
      <c r="F50" s="15"/>
      <c r="G50" s="15">
        <f>ROUND(SUM(C50:F50)/2,0)</f>
        <v>3491927</v>
      </c>
      <c r="H50" s="15"/>
      <c r="I50" s="15">
        <f t="shared" si="5"/>
        <v>0</v>
      </c>
      <c r="J50" s="15">
        <f t="shared" si="5"/>
        <v>336767.725</v>
      </c>
      <c r="K50" s="15">
        <f t="shared" si="5"/>
        <v>3155159.025</v>
      </c>
      <c r="L50" s="15"/>
      <c r="M50" s="82">
        <v>0</v>
      </c>
      <c r="N50" s="82">
        <f>414436.4-104057</f>
        <v>310379.4</v>
      </c>
      <c r="O50" s="82">
        <f>3550803.55-600293</f>
        <v>2950510.55</v>
      </c>
      <c r="P50" s="15"/>
      <c r="Q50" s="82">
        <v>0</v>
      </c>
      <c r="R50" s="82">
        <v>363156.05</v>
      </c>
      <c r="S50" s="82">
        <v>3359807.5</v>
      </c>
    </row>
    <row r="51" spans="1:19" ht="14.25">
      <c r="A51" s="17">
        <f t="shared" si="0"/>
        <v>35</v>
      </c>
      <c r="B51" s="14" t="s">
        <v>52</v>
      </c>
      <c r="C51" s="15">
        <f>SUM(M51:O51)</f>
        <v>61775.79</v>
      </c>
      <c r="D51" s="15">
        <f>SUM(Q51:S51)</f>
        <v>53255</v>
      </c>
      <c r="E51" s="15"/>
      <c r="F51" s="15"/>
      <c r="G51" s="15">
        <f>ROUND(SUM(C51:F51)/2,0)</f>
        <v>57515</v>
      </c>
      <c r="H51" s="15"/>
      <c r="I51" s="15">
        <f t="shared" si="5"/>
        <v>0</v>
      </c>
      <c r="J51" s="15">
        <f t="shared" si="5"/>
        <v>0</v>
      </c>
      <c r="K51" s="15">
        <f t="shared" si="5"/>
        <v>57515.395000000004</v>
      </c>
      <c r="L51" s="15"/>
      <c r="M51" s="82">
        <v>0</v>
      </c>
      <c r="N51" s="82">
        <v>0</v>
      </c>
      <c r="O51" s="82">
        <v>61775.79</v>
      </c>
      <c r="P51" s="15"/>
      <c r="Q51" s="82">
        <v>0</v>
      </c>
      <c r="R51" s="82">
        <v>0</v>
      </c>
      <c r="S51" s="82">
        <v>53255</v>
      </c>
    </row>
    <row r="52" spans="1:19" ht="14.25">
      <c r="A52" s="17">
        <f t="shared" si="0"/>
        <v>36</v>
      </c>
      <c r="B52" s="14" t="s">
        <v>53</v>
      </c>
      <c r="C52" s="15">
        <f>SUM(M52:O52)</f>
        <v>1922.6</v>
      </c>
      <c r="D52" s="15">
        <f>SUM(Q52:S52)</f>
        <v>0</v>
      </c>
      <c r="E52" s="15"/>
      <c r="F52" s="15"/>
      <c r="G52" s="15">
        <f>ROUND(SUM(C52:F52)/2,0)</f>
        <v>961</v>
      </c>
      <c r="H52" s="15"/>
      <c r="I52" s="15">
        <f t="shared" si="5"/>
        <v>0</v>
      </c>
      <c r="J52" s="15">
        <f t="shared" si="5"/>
        <v>961.3</v>
      </c>
      <c r="K52" s="15">
        <f t="shared" si="5"/>
        <v>0</v>
      </c>
      <c r="L52" s="15"/>
      <c r="M52" s="82">
        <v>0</v>
      </c>
      <c r="N52" s="82">
        <v>1922.6</v>
      </c>
      <c r="O52" s="82">
        <v>0</v>
      </c>
      <c r="P52" s="15"/>
      <c r="Q52" s="82">
        <v>0</v>
      </c>
      <c r="R52" s="82">
        <v>0</v>
      </c>
      <c r="S52" s="82">
        <v>0</v>
      </c>
    </row>
    <row r="53" spans="1:19" ht="14.25">
      <c r="A53" s="17">
        <f t="shared" si="0"/>
        <v>37</v>
      </c>
      <c r="B53" s="14" t="s">
        <v>532</v>
      </c>
      <c r="C53" s="15">
        <f t="shared" si="2"/>
        <v>-13749132.6</v>
      </c>
      <c r="D53" s="15">
        <f t="shared" si="3"/>
        <v>-13749132.6</v>
      </c>
      <c r="E53" s="15"/>
      <c r="F53" s="15"/>
      <c r="G53" s="15">
        <f aca="true" t="shared" si="8" ref="G53:G65">ROUND(SUM(C53:F53)/2,0)</f>
        <v>-13749133</v>
      </c>
      <c r="H53" s="15"/>
      <c r="I53" s="15">
        <f t="shared" si="5"/>
        <v>-13749132.6</v>
      </c>
      <c r="J53" s="15">
        <f t="shared" si="5"/>
        <v>0</v>
      </c>
      <c r="K53" s="15">
        <f t="shared" si="5"/>
        <v>0</v>
      </c>
      <c r="L53" s="15"/>
      <c r="M53" s="82">
        <v>-13749132.6</v>
      </c>
      <c r="N53" s="82">
        <v>0</v>
      </c>
      <c r="O53" s="82">
        <v>0</v>
      </c>
      <c r="P53" s="15"/>
      <c r="Q53" s="82">
        <v>-13749132.6</v>
      </c>
      <c r="R53" s="82">
        <v>0</v>
      </c>
      <c r="S53" s="82">
        <v>0</v>
      </c>
    </row>
    <row r="54" spans="1:19" ht="14.25">
      <c r="A54" s="17">
        <f t="shared" si="0"/>
        <v>38</v>
      </c>
      <c r="B54" s="14" t="s">
        <v>54</v>
      </c>
      <c r="C54" s="15">
        <f t="shared" si="2"/>
        <v>137</v>
      </c>
      <c r="D54" s="15">
        <f t="shared" si="3"/>
        <v>0</v>
      </c>
      <c r="E54" s="15"/>
      <c r="F54" s="15"/>
      <c r="G54" s="15">
        <f t="shared" si="8"/>
        <v>69</v>
      </c>
      <c r="H54" s="15"/>
      <c r="I54" s="15">
        <f t="shared" si="5"/>
        <v>68.5</v>
      </c>
      <c r="J54" s="15">
        <f t="shared" si="5"/>
        <v>0</v>
      </c>
      <c r="K54" s="15">
        <f t="shared" si="5"/>
        <v>0</v>
      </c>
      <c r="L54" s="15"/>
      <c r="M54" s="82">
        <v>137</v>
      </c>
      <c r="N54" s="82">
        <v>0</v>
      </c>
      <c r="O54" s="82">
        <v>0</v>
      </c>
      <c r="P54" s="15"/>
      <c r="Q54" s="82">
        <v>0</v>
      </c>
      <c r="R54" s="82">
        <v>0</v>
      </c>
      <c r="S54" s="82">
        <v>0</v>
      </c>
    </row>
    <row r="55" spans="1:19" ht="14.25">
      <c r="A55" s="17">
        <f t="shared" si="0"/>
        <v>39</v>
      </c>
      <c r="B55" s="14" t="s">
        <v>55</v>
      </c>
      <c r="C55" s="15">
        <f>SUM(M55:O55)</f>
        <v>253968.4</v>
      </c>
      <c r="D55" s="15">
        <f>SUM(Q55:S55)</f>
        <v>0</v>
      </c>
      <c r="E55" s="15"/>
      <c r="F55" s="15"/>
      <c r="G55" s="15">
        <f>ROUND(SUM(C55:F55)/2,0)</f>
        <v>126984</v>
      </c>
      <c r="H55" s="15"/>
      <c r="I55" s="15">
        <f t="shared" si="5"/>
        <v>25893.35</v>
      </c>
      <c r="J55" s="15">
        <f t="shared" si="5"/>
        <v>8505.175</v>
      </c>
      <c r="K55" s="15">
        <f t="shared" si="5"/>
        <v>92585.675</v>
      </c>
      <c r="L55" s="15"/>
      <c r="M55" s="82">
        <v>51786.7</v>
      </c>
      <c r="N55" s="82">
        <v>17010.35</v>
      </c>
      <c r="O55" s="82">
        <v>185171.35</v>
      </c>
      <c r="P55" s="15"/>
      <c r="Q55" s="82">
        <v>0</v>
      </c>
      <c r="R55" s="82">
        <v>0</v>
      </c>
      <c r="S55" s="82">
        <v>0</v>
      </c>
    </row>
    <row r="56" spans="1:19" ht="14.25">
      <c r="A56" s="17">
        <f t="shared" si="0"/>
        <v>40</v>
      </c>
      <c r="B56" s="14" t="s">
        <v>56</v>
      </c>
      <c r="C56" s="15">
        <f t="shared" si="2"/>
        <v>42341</v>
      </c>
      <c r="D56" s="15">
        <f t="shared" si="3"/>
        <v>12008</v>
      </c>
      <c r="E56" s="15"/>
      <c r="F56" s="15"/>
      <c r="G56" s="15">
        <f t="shared" si="8"/>
        <v>27175</v>
      </c>
      <c r="H56" s="15"/>
      <c r="I56" s="15">
        <f t="shared" si="5"/>
        <v>0</v>
      </c>
      <c r="J56" s="15">
        <f t="shared" si="5"/>
        <v>10152</v>
      </c>
      <c r="K56" s="15">
        <f t="shared" si="5"/>
        <v>17022.5</v>
      </c>
      <c r="L56" s="15"/>
      <c r="M56" s="82">
        <v>0</v>
      </c>
      <c r="N56" s="82">
        <f>972065-956247</f>
        <v>15818</v>
      </c>
      <c r="O56" s="82">
        <f>1629855-1603332</f>
        <v>26523</v>
      </c>
      <c r="P56" s="15"/>
      <c r="Q56" s="82">
        <v>0</v>
      </c>
      <c r="R56" s="82">
        <v>4486</v>
      </c>
      <c r="S56" s="82">
        <v>7522</v>
      </c>
    </row>
    <row r="57" spans="1:19" ht="14.25">
      <c r="A57" s="17">
        <f t="shared" si="0"/>
        <v>41</v>
      </c>
      <c r="B57" s="14" t="s">
        <v>57</v>
      </c>
      <c r="C57" s="15">
        <f t="shared" si="2"/>
        <v>2081141</v>
      </c>
      <c r="D57" s="15">
        <f t="shared" si="3"/>
        <v>1974417</v>
      </c>
      <c r="E57" s="15"/>
      <c r="F57" s="15"/>
      <c r="G57" s="15">
        <f t="shared" si="8"/>
        <v>2027779</v>
      </c>
      <c r="H57" s="15"/>
      <c r="I57" s="15">
        <f t="shared" si="5"/>
        <v>2027779</v>
      </c>
      <c r="J57" s="15">
        <f t="shared" si="5"/>
        <v>0</v>
      </c>
      <c r="K57" s="15">
        <f t="shared" si="5"/>
        <v>0</v>
      </c>
      <c r="L57" s="15"/>
      <c r="M57" s="82">
        <f>3201757-1120616</f>
        <v>2081141</v>
      </c>
      <c r="N57" s="82">
        <v>0</v>
      </c>
      <c r="O57" s="82">
        <v>0</v>
      </c>
      <c r="P57" s="15"/>
      <c r="Q57" s="82">
        <v>1974417</v>
      </c>
      <c r="R57" s="82">
        <v>0</v>
      </c>
      <c r="S57" s="82">
        <v>0</v>
      </c>
    </row>
    <row r="58" spans="1:19" ht="14.25">
      <c r="A58" s="17">
        <f t="shared" si="0"/>
        <v>42</v>
      </c>
      <c r="B58" s="14" t="s">
        <v>58</v>
      </c>
      <c r="C58" s="15">
        <f>SUM(M58:O58)</f>
        <v>-64317.49</v>
      </c>
      <c r="D58" s="15">
        <f>SUM(Q58:S58)</f>
        <v>-64317.49</v>
      </c>
      <c r="E58" s="15"/>
      <c r="F58" s="15"/>
      <c r="G58" s="15">
        <f>ROUND(SUM(C58:F58)/2,0)</f>
        <v>-64317</v>
      </c>
      <c r="H58" s="15"/>
      <c r="I58" s="15">
        <f t="shared" si="5"/>
        <v>-64317.49</v>
      </c>
      <c r="J58" s="15">
        <f t="shared" si="5"/>
        <v>0</v>
      </c>
      <c r="K58" s="15">
        <f t="shared" si="5"/>
        <v>0</v>
      </c>
      <c r="L58" s="15"/>
      <c r="M58" s="82">
        <v>-64317.49</v>
      </c>
      <c r="N58" s="82">
        <v>0</v>
      </c>
      <c r="O58" s="82">
        <v>0</v>
      </c>
      <c r="P58" s="15"/>
      <c r="Q58" s="82">
        <v>-64317.49</v>
      </c>
      <c r="R58" s="82">
        <v>0</v>
      </c>
      <c r="S58" s="82">
        <v>0</v>
      </c>
    </row>
    <row r="59" spans="1:19" ht="14.25">
      <c r="A59" s="17">
        <f t="shared" si="0"/>
        <v>43</v>
      </c>
      <c r="B59" s="14" t="s">
        <v>59</v>
      </c>
      <c r="C59" s="15">
        <f t="shared" si="2"/>
        <v>9120948.18</v>
      </c>
      <c r="D59" s="15">
        <f t="shared" si="3"/>
        <v>9120948.18</v>
      </c>
      <c r="E59" s="15"/>
      <c r="F59" s="15"/>
      <c r="G59" s="15">
        <f t="shared" si="8"/>
        <v>9120948</v>
      </c>
      <c r="H59" s="15"/>
      <c r="I59" s="15">
        <f t="shared" si="5"/>
        <v>9120948.18</v>
      </c>
      <c r="J59" s="15">
        <f t="shared" si="5"/>
        <v>0</v>
      </c>
      <c r="K59" s="15">
        <f t="shared" si="5"/>
        <v>0</v>
      </c>
      <c r="L59" s="15"/>
      <c r="M59" s="82">
        <f>-798375.82+9919324</f>
        <v>9120948.18</v>
      </c>
      <c r="N59" s="82">
        <v>0</v>
      </c>
      <c r="O59" s="82">
        <v>0</v>
      </c>
      <c r="P59" s="15"/>
      <c r="Q59" s="82">
        <v>9120948.18</v>
      </c>
      <c r="R59" s="82">
        <v>0</v>
      </c>
      <c r="S59" s="82">
        <v>0</v>
      </c>
    </row>
    <row r="60" spans="1:19" ht="14.25">
      <c r="A60" s="17">
        <f t="shared" si="0"/>
        <v>44</v>
      </c>
      <c r="B60" s="14" t="s">
        <v>60</v>
      </c>
      <c r="C60" s="15">
        <f t="shared" si="2"/>
        <v>-316318.7</v>
      </c>
      <c r="D60" s="15">
        <f t="shared" si="3"/>
        <v>-316318.7</v>
      </c>
      <c r="E60" s="15"/>
      <c r="F60" s="15"/>
      <c r="G60" s="15">
        <f t="shared" si="8"/>
        <v>-316319</v>
      </c>
      <c r="H60" s="15"/>
      <c r="I60" s="15">
        <f t="shared" si="5"/>
        <v>-316318.7</v>
      </c>
      <c r="J60" s="15">
        <f t="shared" si="5"/>
        <v>0</v>
      </c>
      <c r="K60" s="15">
        <f t="shared" si="5"/>
        <v>0</v>
      </c>
      <c r="L60" s="15"/>
      <c r="M60" s="82">
        <v>-316318.7</v>
      </c>
      <c r="N60" s="82">
        <v>0</v>
      </c>
      <c r="O60" s="82">
        <v>0</v>
      </c>
      <c r="P60" s="15"/>
      <c r="Q60" s="82">
        <v>-316318.7</v>
      </c>
      <c r="R60" s="82">
        <v>0</v>
      </c>
      <c r="S60" s="82">
        <v>0</v>
      </c>
    </row>
    <row r="61" spans="1:19" ht="14.25">
      <c r="A61" s="17">
        <f t="shared" si="0"/>
        <v>45</v>
      </c>
      <c r="B61" s="14" t="s">
        <v>61</v>
      </c>
      <c r="C61" s="15">
        <f t="shared" si="2"/>
        <v>312822</v>
      </c>
      <c r="D61" s="15">
        <f t="shared" si="3"/>
        <v>312822</v>
      </c>
      <c r="E61" s="15"/>
      <c r="F61" s="15"/>
      <c r="G61" s="15">
        <f t="shared" si="8"/>
        <v>312822</v>
      </c>
      <c r="H61" s="15"/>
      <c r="I61" s="15">
        <f t="shared" si="5"/>
        <v>312822</v>
      </c>
      <c r="J61" s="15">
        <f t="shared" si="5"/>
        <v>0</v>
      </c>
      <c r="K61" s="15">
        <f t="shared" si="5"/>
        <v>0</v>
      </c>
      <c r="L61" s="15"/>
      <c r="M61" s="82">
        <v>312822</v>
      </c>
      <c r="N61" s="82">
        <v>0</v>
      </c>
      <c r="O61" s="82">
        <v>0</v>
      </c>
      <c r="P61" s="15"/>
      <c r="Q61" s="82">
        <v>312822</v>
      </c>
      <c r="R61" s="82">
        <v>0</v>
      </c>
      <c r="S61" s="82">
        <v>0</v>
      </c>
    </row>
    <row r="62" spans="1:19" ht="14.25">
      <c r="A62" s="17">
        <f t="shared" si="0"/>
        <v>46</v>
      </c>
      <c r="B62" s="14" t="s">
        <v>62</v>
      </c>
      <c r="C62" s="15">
        <f>SUM(M62:O62)</f>
        <v>-1661681.35</v>
      </c>
      <c r="D62" s="15">
        <f>SUM(Q62:S62)</f>
        <v>0</v>
      </c>
      <c r="E62" s="15"/>
      <c r="F62" s="15"/>
      <c r="G62" s="15">
        <f>ROUND(SUM(C62:F62)/2,0)</f>
        <v>-830841</v>
      </c>
      <c r="H62" s="15"/>
      <c r="I62" s="15">
        <f t="shared" si="5"/>
        <v>-830840.675</v>
      </c>
      <c r="J62" s="15">
        <f t="shared" si="5"/>
        <v>0</v>
      </c>
      <c r="K62" s="15">
        <f t="shared" si="5"/>
        <v>0</v>
      </c>
      <c r="L62" s="15"/>
      <c r="M62" s="82">
        <v>-1661681.35</v>
      </c>
      <c r="N62" s="82">
        <v>0</v>
      </c>
      <c r="O62" s="82">
        <v>0</v>
      </c>
      <c r="P62" s="15"/>
      <c r="Q62" s="82">
        <v>0</v>
      </c>
      <c r="R62" s="82">
        <v>0</v>
      </c>
      <c r="S62" s="82">
        <v>0</v>
      </c>
    </row>
    <row r="63" spans="1:19" ht="14.25">
      <c r="A63" s="17">
        <f t="shared" si="0"/>
        <v>47</v>
      </c>
      <c r="B63" s="5" t="s">
        <v>32</v>
      </c>
      <c r="C63" s="81">
        <v>0.49</v>
      </c>
      <c r="D63" s="81">
        <v>0.49</v>
      </c>
      <c r="E63" s="15">
        <f aca="true" t="shared" si="9" ref="E63:F65">-C63</f>
        <v>-0.49</v>
      </c>
      <c r="F63" s="15">
        <f t="shared" si="9"/>
        <v>-0.49</v>
      </c>
      <c r="G63" s="15">
        <f t="shared" si="8"/>
        <v>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4.25">
      <c r="A64" s="17">
        <f t="shared" si="0"/>
        <v>48</v>
      </c>
      <c r="B64" s="5" t="s">
        <v>63</v>
      </c>
      <c r="C64" s="81">
        <v>178949985.78</v>
      </c>
      <c r="D64" s="81">
        <v>133701796.3</v>
      </c>
      <c r="E64" s="15">
        <f t="shared" si="9"/>
        <v>-178949985.78</v>
      </c>
      <c r="F64" s="15">
        <f t="shared" si="9"/>
        <v>-133701796.3</v>
      </c>
      <c r="G64" s="15">
        <f t="shared" si="8"/>
        <v>0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4.25">
      <c r="A65" s="17">
        <f t="shared" si="0"/>
        <v>49</v>
      </c>
      <c r="B65" s="5" t="s">
        <v>64</v>
      </c>
      <c r="C65" s="81">
        <v>-1994779</v>
      </c>
      <c r="D65" s="81">
        <v>-1888400</v>
      </c>
      <c r="E65" s="15">
        <f t="shared" si="9"/>
        <v>1994779</v>
      </c>
      <c r="F65" s="15">
        <f t="shared" si="9"/>
        <v>1888400</v>
      </c>
      <c r="G65" s="15">
        <f t="shared" si="8"/>
        <v>0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4.25">
      <c r="A66" s="17">
        <f t="shared" si="0"/>
        <v>50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5" thickBot="1">
      <c r="A67" s="17">
        <f t="shared" si="0"/>
        <v>51</v>
      </c>
      <c r="B67" s="5" t="s">
        <v>65</v>
      </c>
      <c r="C67" s="18">
        <f>SUM(C28:C66)</f>
        <v>1641993335.8500004</v>
      </c>
      <c r="D67" s="18">
        <f>SUM(D28:D66)</f>
        <v>1700842575.4</v>
      </c>
      <c r="E67" s="18">
        <f>SUM(E28:E66)</f>
        <v>-176955207.27</v>
      </c>
      <c r="F67" s="18">
        <f>SUM(F28:F66)</f>
        <v>-131813396.78999999</v>
      </c>
      <c r="G67" s="18">
        <f>SUM(G28:G66)</f>
        <v>1517033655</v>
      </c>
      <c r="H67" s="18"/>
      <c r="I67" s="18">
        <f>SUM(I28:I66)</f>
        <v>677638452.92</v>
      </c>
      <c r="J67" s="18">
        <f>SUM(J28:J66)</f>
        <v>333034516.4650001</v>
      </c>
      <c r="K67" s="18">
        <f>SUM(K28:K66)</f>
        <v>506360684.21000004</v>
      </c>
      <c r="L67" s="18"/>
      <c r="M67" s="18">
        <f>SUM(M28:M66)</f>
        <v>658018892.6199999</v>
      </c>
      <c r="N67" s="18">
        <f>SUM(N28:N66)</f>
        <v>315763914.1100001</v>
      </c>
      <c r="O67" s="18">
        <f>SUM(O28:O66)</f>
        <v>491255321.8500001</v>
      </c>
      <c r="P67" s="15"/>
      <c r="Q67" s="18">
        <f>SUM(Q28:Q66)</f>
        <v>697258013.2199998</v>
      </c>
      <c r="R67" s="18">
        <f>SUM(R28:R66)</f>
        <v>350305118.81999993</v>
      </c>
      <c r="S67" s="18">
        <f>SUM(S28:S66)</f>
        <v>521466046.57000005</v>
      </c>
    </row>
    <row r="68" spans="1:19" ht="15" thickTop="1">
      <c r="A68" s="17">
        <f t="shared" si="0"/>
        <v>52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5"/>
      <c r="Q68" s="49"/>
      <c r="R68" s="19"/>
      <c r="S68" s="19"/>
    </row>
    <row r="69" spans="1:19" ht="14.25">
      <c r="A69" s="17">
        <f t="shared" si="0"/>
        <v>53</v>
      </c>
      <c r="B69" s="5"/>
      <c r="C69" s="15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4.25">
      <c r="A70" s="17">
        <f t="shared" si="0"/>
        <v>54</v>
      </c>
      <c r="B70" s="14" t="s">
        <v>66</v>
      </c>
      <c r="C70" s="15" t="s">
        <v>67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4.25">
      <c r="A71" s="17">
        <f t="shared" si="0"/>
        <v>55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4.25">
      <c r="A72" s="17">
        <f t="shared" si="0"/>
        <v>56</v>
      </c>
      <c r="B72" s="21" t="s">
        <v>68</v>
      </c>
      <c r="C72" s="15">
        <f aca="true" t="shared" si="10" ref="C72:C102">SUM(M72:O72)</f>
        <v>17941296.1</v>
      </c>
      <c r="D72" s="15">
        <f aca="true" t="shared" si="11" ref="D72:D109">SUM(Q72:S72)</f>
        <v>5558088.19</v>
      </c>
      <c r="E72" s="15"/>
      <c r="F72" s="15"/>
      <c r="G72" s="15">
        <f aca="true" t="shared" si="12" ref="G72:G135">ROUND(SUM(C72:F72)/2,0)</f>
        <v>11749692</v>
      </c>
      <c r="H72" s="15"/>
      <c r="I72" s="15">
        <f aca="true" t="shared" si="13" ref="I72:K103">(+M72+Q72)/2</f>
        <v>11749692.145000001</v>
      </c>
      <c r="J72" s="15">
        <f t="shared" si="13"/>
        <v>0</v>
      </c>
      <c r="K72" s="15">
        <f t="shared" si="13"/>
        <v>0</v>
      </c>
      <c r="L72" s="15"/>
      <c r="M72" s="82">
        <v>17941296.1</v>
      </c>
      <c r="N72" s="82">
        <v>0</v>
      </c>
      <c r="O72" s="82">
        <v>0</v>
      </c>
      <c r="P72" s="15"/>
      <c r="Q72" s="82">
        <v>5558088.19</v>
      </c>
      <c r="R72" s="82">
        <v>0</v>
      </c>
      <c r="S72" s="82">
        <v>0</v>
      </c>
    </row>
    <row r="73" spans="1:19" ht="14.25">
      <c r="A73" s="17">
        <f t="shared" si="0"/>
        <v>57</v>
      </c>
      <c r="B73" s="14" t="s">
        <v>69</v>
      </c>
      <c r="C73" s="15">
        <f>SUM(M73:O73)</f>
        <v>0</v>
      </c>
      <c r="D73" s="15">
        <f>SUM(Q73:S73)</f>
        <v>1872468.63</v>
      </c>
      <c r="E73" s="15"/>
      <c r="F73" s="15"/>
      <c r="G73" s="15">
        <f>ROUND(SUM(C73:F73)/2,0)</f>
        <v>936234</v>
      </c>
      <c r="H73" s="15"/>
      <c r="I73" s="15">
        <f t="shared" si="13"/>
        <v>936234.315</v>
      </c>
      <c r="J73" s="15">
        <f t="shared" si="13"/>
        <v>0</v>
      </c>
      <c r="K73" s="15">
        <f t="shared" si="13"/>
        <v>0</v>
      </c>
      <c r="L73" s="15"/>
      <c r="M73" s="82">
        <v>0</v>
      </c>
      <c r="N73" s="82">
        <v>0</v>
      </c>
      <c r="O73" s="82">
        <v>0</v>
      </c>
      <c r="P73" s="15"/>
      <c r="Q73" s="82">
        <v>1872468.63</v>
      </c>
      <c r="R73" s="82">
        <v>0</v>
      </c>
      <c r="S73" s="82">
        <v>0</v>
      </c>
    </row>
    <row r="74" spans="1:19" ht="14.25">
      <c r="A74" s="17">
        <f t="shared" si="0"/>
        <v>58</v>
      </c>
      <c r="B74" s="14" t="s">
        <v>70</v>
      </c>
      <c r="C74" s="15">
        <f t="shared" si="10"/>
        <v>13933912.27</v>
      </c>
      <c r="D74" s="15">
        <f t="shared" si="11"/>
        <v>21254301.9</v>
      </c>
      <c r="E74" s="15"/>
      <c r="F74" s="15"/>
      <c r="G74" s="15">
        <f t="shared" si="12"/>
        <v>17594107</v>
      </c>
      <c r="H74" s="15"/>
      <c r="I74" s="15">
        <f t="shared" si="13"/>
        <v>17594107.085</v>
      </c>
      <c r="J74" s="15">
        <f t="shared" si="13"/>
        <v>0</v>
      </c>
      <c r="K74" s="15">
        <f t="shared" si="13"/>
        <v>0</v>
      </c>
      <c r="L74" s="15"/>
      <c r="M74" s="82">
        <v>13933912.27</v>
      </c>
      <c r="N74" s="82">
        <v>0</v>
      </c>
      <c r="O74" s="82">
        <v>0</v>
      </c>
      <c r="P74" s="15"/>
      <c r="Q74" s="82">
        <v>21254301.9</v>
      </c>
      <c r="R74" s="82">
        <v>0</v>
      </c>
      <c r="S74" s="82">
        <v>0</v>
      </c>
    </row>
    <row r="75" spans="1:19" ht="14.25">
      <c r="A75" s="17">
        <f t="shared" si="0"/>
        <v>59</v>
      </c>
      <c r="B75" s="14" t="s">
        <v>71</v>
      </c>
      <c r="C75" s="15">
        <f t="shared" si="10"/>
        <v>0</v>
      </c>
      <c r="D75" s="15">
        <f t="shared" si="11"/>
        <v>0</v>
      </c>
      <c r="E75" s="15"/>
      <c r="F75" s="15"/>
      <c r="G75" s="15">
        <f t="shared" si="12"/>
        <v>0</v>
      </c>
      <c r="H75" s="15"/>
      <c r="I75" s="15">
        <f t="shared" si="13"/>
        <v>0</v>
      </c>
      <c r="J75" s="15">
        <f t="shared" si="13"/>
        <v>0</v>
      </c>
      <c r="K75" s="15">
        <f t="shared" si="13"/>
        <v>0</v>
      </c>
      <c r="L75" s="15"/>
      <c r="M75" s="82">
        <v>0</v>
      </c>
      <c r="N75" s="82">
        <v>0</v>
      </c>
      <c r="O75" s="82">
        <v>0</v>
      </c>
      <c r="P75" s="15"/>
      <c r="Q75" s="82">
        <v>0</v>
      </c>
      <c r="R75" s="82">
        <v>0</v>
      </c>
      <c r="S75" s="82">
        <v>0</v>
      </c>
    </row>
    <row r="76" spans="1:19" ht="14.25">
      <c r="A76" s="17">
        <f t="shared" si="0"/>
        <v>60</v>
      </c>
      <c r="B76" s="14" t="s">
        <v>72</v>
      </c>
      <c r="C76" s="15">
        <f t="shared" si="10"/>
        <v>0</v>
      </c>
      <c r="D76" s="15">
        <f t="shared" si="11"/>
        <v>0</v>
      </c>
      <c r="E76" s="15"/>
      <c r="F76" s="15"/>
      <c r="G76" s="15">
        <f t="shared" si="12"/>
        <v>0</v>
      </c>
      <c r="H76" s="15"/>
      <c r="I76" s="15">
        <f t="shared" si="13"/>
        <v>0</v>
      </c>
      <c r="J76" s="15">
        <f t="shared" si="13"/>
        <v>0</v>
      </c>
      <c r="K76" s="15">
        <f t="shared" si="13"/>
        <v>0</v>
      </c>
      <c r="L76" s="15"/>
      <c r="M76" s="82">
        <v>0</v>
      </c>
      <c r="N76" s="82">
        <v>0</v>
      </c>
      <c r="O76" s="82">
        <v>0</v>
      </c>
      <c r="P76" s="15"/>
      <c r="Q76" s="82">
        <v>0</v>
      </c>
      <c r="R76" s="82">
        <v>0</v>
      </c>
      <c r="S76" s="82">
        <v>0</v>
      </c>
    </row>
    <row r="77" spans="1:19" ht="14.25">
      <c r="A77" s="17">
        <f t="shared" si="0"/>
        <v>61</v>
      </c>
      <c r="B77" s="14" t="s">
        <v>73</v>
      </c>
      <c r="C77" s="15">
        <f>SUM(M77:O77)</f>
        <v>0</v>
      </c>
      <c r="D77" s="15">
        <f>SUM(Q77:S77)</f>
        <v>0</v>
      </c>
      <c r="E77" s="15"/>
      <c r="F77" s="15"/>
      <c r="G77" s="15">
        <f t="shared" si="12"/>
        <v>0</v>
      </c>
      <c r="H77" s="15"/>
      <c r="I77" s="15">
        <f t="shared" si="13"/>
        <v>0</v>
      </c>
      <c r="J77" s="15">
        <f t="shared" si="13"/>
        <v>0</v>
      </c>
      <c r="K77" s="15">
        <f t="shared" si="13"/>
        <v>0</v>
      </c>
      <c r="L77" s="15"/>
      <c r="M77" s="82">
        <v>0</v>
      </c>
      <c r="N77" s="82">
        <v>0</v>
      </c>
      <c r="O77" s="82">
        <v>0</v>
      </c>
      <c r="P77" s="15"/>
      <c r="Q77" s="82">
        <v>0</v>
      </c>
      <c r="R77" s="82">
        <v>0</v>
      </c>
      <c r="S77" s="82">
        <v>0</v>
      </c>
    </row>
    <row r="78" spans="1:19" ht="14.25">
      <c r="A78" s="17">
        <f t="shared" si="0"/>
        <v>62</v>
      </c>
      <c r="B78" s="14" t="s">
        <v>74</v>
      </c>
      <c r="C78" s="15">
        <f>SUM(M78:O78)</f>
        <v>0</v>
      </c>
      <c r="D78" s="15">
        <f>SUM(Q78:S78)</f>
        <v>0</v>
      </c>
      <c r="E78" s="15"/>
      <c r="F78" s="15"/>
      <c r="G78" s="15">
        <f>ROUND(SUM(C78:F78)/2,0)</f>
        <v>0</v>
      </c>
      <c r="H78" s="15"/>
      <c r="I78" s="15">
        <f t="shared" si="13"/>
        <v>0</v>
      </c>
      <c r="J78" s="15">
        <f t="shared" si="13"/>
        <v>0</v>
      </c>
      <c r="K78" s="15">
        <f t="shared" si="13"/>
        <v>0</v>
      </c>
      <c r="L78" s="15"/>
      <c r="M78" s="82">
        <v>0</v>
      </c>
      <c r="N78" s="82">
        <v>0</v>
      </c>
      <c r="O78" s="82">
        <v>0</v>
      </c>
      <c r="P78" s="15"/>
      <c r="Q78" s="82">
        <v>0</v>
      </c>
      <c r="R78" s="82">
        <v>0</v>
      </c>
      <c r="S78" s="82">
        <v>0</v>
      </c>
    </row>
    <row r="79" spans="1:19" ht="14.25">
      <c r="A79" s="17">
        <f t="shared" si="0"/>
        <v>63</v>
      </c>
      <c r="B79" s="21" t="s">
        <v>533</v>
      </c>
      <c r="C79" s="15">
        <f>SUM(M79:O79)</f>
        <v>7184968.35</v>
      </c>
      <c r="D79" s="15">
        <f>SUM(Q79:S79)</f>
        <v>1197494.72</v>
      </c>
      <c r="E79" s="15"/>
      <c r="F79" s="15"/>
      <c r="G79" s="15">
        <f>ROUND(SUM(C79:F79)/2,0)</f>
        <v>4191232</v>
      </c>
      <c r="H79" s="15"/>
      <c r="I79" s="15">
        <f t="shared" si="13"/>
        <v>4191231.5349999997</v>
      </c>
      <c r="J79" s="15">
        <f t="shared" si="13"/>
        <v>0</v>
      </c>
      <c r="K79" s="15">
        <f t="shared" si="13"/>
        <v>0</v>
      </c>
      <c r="L79" s="15"/>
      <c r="M79" s="82">
        <v>7184968.35</v>
      </c>
      <c r="N79" s="82">
        <v>0</v>
      </c>
      <c r="O79" s="82">
        <v>0</v>
      </c>
      <c r="P79" s="15"/>
      <c r="Q79" s="82">
        <v>1197494.72</v>
      </c>
      <c r="R79" s="82">
        <v>0</v>
      </c>
      <c r="S79" s="82">
        <v>0</v>
      </c>
    </row>
    <row r="80" spans="1:19" ht="14.25">
      <c r="A80" s="17">
        <f t="shared" si="0"/>
        <v>64</v>
      </c>
      <c r="B80" s="14" t="s">
        <v>75</v>
      </c>
      <c r="C80" s="15">
        <f t="shared" si="10"/>
        <v>4262535.9</v>
      </c>
      <c r="D80" s="15">
        <f t="shared" si="11"/>
        <v>3429486.1199999996</v>
      </c>
      <c r="E80" s="15"/>
      <c r="F80" s="15"/>
      <c r="G80" s="15">
        <f t="shared" si="12"/>
        <v>3846011</v>
      </c>
      <c r="H80" s="15"/>
      <c r="I80" s="15">
        <f t="shared" si="13"/>
        <v>-827868.14</v>
      </c>
      <c r="J80" s="15">
        <f t="shared" si="13"/>
        <v>1324781.2349999999</v>
      </c>
      <c r="K80" s="15">
        <f t="shared" si="13"/>
        <v>3349097.915</v>
      </c>
      <c r="L80" s="15"/>
      <c r="M80" s="82">
        <v>-259959.7</v>
      </c>
      <c r="N80" s="82">
        <v>1210997.53</v>
      </c>
      <c r="O80" s="82">
        <v>3311498.07</v>
      </c>
      <c r="P80" s="15"/>
      <c r="Q80" s="82">
        <v>-1395776.58</v>
      </c>
      <c r="R80" s="82">
        <v>1438564.94</v>
      </c>
      <c r="S80" s="82">
        <v>3386697.76</v>
      </c>
    </row>
    <row r="81" spans="1:19" ht="14.25">
      <c r="A81" s="17">
        <f t="shared" si="0"/>
        <v>65</v>
      </c>
      <c r="B81" s="21" t="s">
        <v>534</v>
      </c>
      <c r="C81" s="15">
        <f>SUM(M81:O81)</f>
        <v>1897034</v>
      </c>
      <c r="D81" s="15">
        <f>SUM(Q81:S81)</f>
        <v>1897034</v>
      </c>
      <c r="E81" s="15"/>
      <c r="F81" s="15"/>
      <c r="G81" s="15">
        <f>ROUND(SUM(C81:F81)/2,0)</f>
        <v>1897034</v>
      </c>
      <c r="H81" s="15"/>
      <c r="I81" s="15">
        <f t="shared" si="13"/>
        <v>1897034</v>
      </c>
      <c r="J81" s="15">
        <f t="shared" si="13"/>
        <v>0</v>
      </c>
      <c r="K81" s="15">
        <f t="shared" si="13"/>
        <v>0</v>
      </c>
      <c r="L81" s="15"/>
      <c r="M81" s="82">
        <v>1897034</v>
      </c>
      <c r="N81" s="82">
        <v>0</v>
      </c>
      <c r="O81" s="82">
        <v>0</v>
      </c>
      <c r="P81" s="15"/>
      <c r="Q81" s="82">
        <v>1897034</v>
      </c>
      <c r="R81" s="82">
        <v>0</v>
      </c>
      <c r="S81" s="82">
        <v>0</v>
      </c>
    </row>
    <row r="82" spans="1:19" ht="14.25">
      <c r="A82" s="17">
        <f aca="true" t="shared" si="14" ref="A82:A145">A81+1</f>
        <v>66</v>
      </c>
      <c r="B82" s="21" t="s">
        <v>535</v>
      </c>
      <c r="C82" s="15">
        <f>SUM(M82:O82)</f>
        <v>130834377.1</v>
      </c>
      <c r="D82" s="15">
        <f>SUM(Q82:S82)</f>
        <v>124038346.25</v>
      </c>
      <c r="E82" s="15"/>
      <c r="F82" s="15"/>
      <c r="G82" s="15">
        <f>ROUND(SUM(C82:F82)/2,0)</f>
        <v>127436362</v>
      </c>
      <c r="H82" s="15"/>
      <c r="I82" s="15">
        <f t="shared" si="13"/>
        <v>127436361.675</v>
      </c>
      <c r="J82" s="15">
        <f t="shared" si="13"/>
        <v>0</v>
      </c>
      <c r="K82" s="15">
        <f t="shared" si="13"/>
        <v>0</v>
      </c>
      <c r="L82" s="15"/>
      <c r="M82" s="82">
        <v>130834377.1</v>
      </c>
      <c r="N82" s="82">
        <v>0</v>
      </c>
      <c r="O82" s="82">
        <v>0</v>
      </c>
      <c r="P82" s="15"/>
      <c r="Q82" s="82">
        <v>124038346.25</v>
      </c>
      <c r="R82" s="82">
        <v>0</v>
      </c>
      <c r="S82" s="82">
        <v>0</v>
      </c>
    </row>
    <row r="83" spans="1:19" ht="14.25">
      <c r="A83" s="17">
        <f t="shared" si="14"/>
        <v>67</v>
      </c>
      <c r="B83" s="14" t="s">
        <v>76</v>
      </c>
      <c r="C83" s="15">
        <f t="shared" si="10"/>
        <v>10614836.049999999</v>
      </c>
      <c r="D83" s="15">
        <f t="shared" si="11"/>
        <v>9339119.65</v>
      </c>
      <c r="E83" s="15"/>
      <c r="F83" s="15"/>
      <c r="G83" s="15">
        <f t="shared" si="12"/>
        <v>9976978</v>
      </c>
      <c r="H83" s="15"/>
      <c r="I83" s="15">
        <f t="shared" si="13"/>
        <v>9976977.85</v>
      </c>
      <c r="J83" s="15">
        <f t="shared" si="13"/>
        <v>0</v>
      </c>
      <c r="K83" s="15">
        <f t="shared" si="13"/>
        <v>0</v>
      </c>
      <c r="L83" s="15"/>
      <c r="M83" s="82">
        <f>10768758.12-153922.07</f>
        <v>10614836.049999999</v>
      </c>
      <c r="N83" s="82">
        <v>0</v>
      </c>
      <c r="O83" s="82">
        <v>0</v>
      </c>
      <c r="P83" s="15"/>
      <c r="Q83" s="82">
        <v>9339119.65</v>
      </c>
      <c r="R83" s="82">
        <v>0</v>
      </c>
      <c r="S83" s="82">
        <v>0</v>
      </c>
    </row>
    <row r="84" spans="1:19" ht="14.25">
      <c r="A84" s="17">
        <f t="shared" si="14"/>
        <v>68</v>
      </c>
      <c r="B84" s="14" t="s">
        <v>260</v>
      </c>
      <c r="C84" s="15">
        <f t="shared" si="10"/>
        <v>-634922.4</v>
      </c>
      <c r="D84" s="15">
        <f t="shared" si="11"/>
        <v>-679996.1</v>
      </c>
      <c r="E84" s="15"/>
      <c r="F84" s="15"/>
      <c r="G84" s="15">
        <f t="shared" si="12"/>
        <v>-657459</v>
      </c>
      <c r="H84" s="15"/>
      <c r="I84" s="15">
        <f t="shared" si="13"/>
        <v>-657459.25</v>
      </c>
      <c r="J84" s="15">
        <f t="shared" si="13"/>
        <v>0</v>
      </c>
      <c r="K84" s="15">
        <f t="shared" si="13"/>
        <v>0</v>
      </c>
      <c r="L84" s="15"/>
      <c r="M84" s="82">
        <v>-634922.4</v>
      </c>
      <c r="N84" s="82">
        <v>0</v>
      </c>
      <c r="O84" s="82">
        <v>0</v>
      </c>
      <c r="P84" s="15"/>
      <c r="Q84" s="82">
        <v>-679996.1</v>
      </c>
      <c r="R84" s="82">
        <v>0</v>
      </c>
      <c r="S84" s="82">
        <v>0</v>
      </c>
    </row>
    <row r="85" spans="1:19" ht="14.25">
      <c r="A85" s="17">
        <f t="shared" si="14"/>
        <v>69</v>
      </c>
      <c r="B85" s="14" t="s">
        <v>78</v>
      </c>
      <c r="C85" s="15">
        <f t="shared" si="10"/>
        <v>55744179.14</v>
      </c>
      <c r="D85" s="15">
        <f t="shared" si="11"/>
        <v>52744465.39</v>
      </c>
      <c r="E85" s="15"/>
      <c r="F85" s="15"/>
      <c r="G85" s="15">
        <f t="shared" si="12"/>
        <v>54244322</v>
      </c>
      <c r="H85" s="15"/>
      <c r="I85" s="15">
        <f t="shared" si="13"/>
        <v>22554999.785</v>
      </c>
      <c r="J85" s="15">
        <f t="shared" si="13"/>
        <v>2551240.685</v>
      </c>
      <c r="K85" s="15">
        <f t="shared" si="13"/>
        <v>29138081.795</v>
      </c>
      <c r="L85" s="15"/>
      <c r="M85" s="82">
        <v>23284205.7</v>
      </c>
      <c r="N85" s="82">
        <v>2660269.75</v>
      </c>
      <c r="O85" s="82">
        <v>29799703.69</v>
      </c>
      <c r="P85" s="15"/>
      <c r="Q85" s="82">
        <v>21825793.87</v>
      </c>
      <c r="R85" s="82">
        <v>2442211.62</v>
      </c>
      <c r="S85" s="82">
        <v>28476459.9</v>
      </c>
    </row>
    <row r="86" spans="1:19" ht="14.25">
      <c r="A86" s="17">
        <f t="shared" si="14"/>
        <v>70</v>
      </c>
      <c r="B86" s="14" t="s">
        <v>79</v>
      </c>
      <c r="C86" s="15">
        <f t="shared" si="10"/>
        <v>-76201445.6</v>
      </c>
      <c r="D86" s="15">
        <f t="shared" si="11"/>
        <v>-81290352.5</v>
      </c>
      <c r="E86" s="15"/>
      <c r="F86" s="15"/>
      <c r="G86" s="15">
        <f t="shared" si="12"/>
        <v>-78745899</v>
      </c>
      <c r="H86" s="15"/>
      <c r="I86" s="15">
        <f t="shared" si="13"/>
        <v>-29946456.05</v>
      </c>
      <c r="J86" s="15">
        <f t="shared" si="13"/>
        <v>-5564245.225</v>
      </c>
      <c r="K86" s="15">
        <f t="shared" si="13"/>
        <v>-43235197.775000006</v>
      </c>
      <c r="L86" s="15"/>
      <c r="M86" s="82">
        <v>-28870678.55</v>
      </c>
      <c r="N86" s="82">
        <v>-5048230.95</v>
      </c>
      <c r="O86" s="82">
        <v>-42282536.1</v>
      </c>
      <c r="P86" s="15"/>
      <c r="Q86" s="82">
        <v>-31022233.55</v>
      </c>
      <c r="R86" s="82">
        <v>-6080259.5</v>
      </c>
      <c r="S86" s="82">
        <v>-44187859.45</v>
      </c>
    </row>
    <row r="87" spans="1:19" ht="14.25">
      <c r="A87" s="17">
        <f t="shared" si="14"/>
        <v>71</v>
      </c>
      <c r="B87" s="14" t="s">
        <v>263</v>
      </c>
      <c r="C87" s="15">
        <f t="shared" si="10"/>
        <v>1022514.51</v>
      </c>
      <c r="D87" s="15">
        <f t="shared" si="11"/>
        <v>688611.12</v>
      </c>
      <c r="E87" s="15"/>
      <c r="F87" s="15"/>
      <c r="G87" s="15">
        <f t="shared" si="12"/>
        <v>855563</v>
      </c>
      <c r="H87" s="15"/>
      <c r="I87" s="15">
        <f t="shared" si="13"/>
        <v>0</v>
      </c>
      <c r="J87" s="15">
        <f t="shared" si="13"/>
        <v>855562.815</v>
      </c>
      <c r="K87" s="15">
        <f t="shared" si="13"/>
        <v>0</v>
      </c>
      <c r="L87" s="15"/>
      <c r="M87" s="82">
        <v>0</v>
      </c>
      <c r="N87" s="82">
        <v>1022514.51</v>
      </c>
      <c r="O87" s="82">
        <v>0</v>
      </c>
      <c r="P87" s="15"/>
      <c r="Q87" s="82">
        <v>0</v>
      </c>
      <c r="R87" s="82">
        <v>688611.12</v>
      </c>
      <c r="S87" s="82">
        <v>0</v>
      </c>
    </row>
    <row r="88" spans="1:19" ht="14.25">
      <c r="A88" s="17">
        <f t="shared" si="14"/>
        <v>72</v>
      </c>
      <c r="B88" s="14" t="s">
        <v>262</v>
      </c>
      <c r="C88" s="15">
        <f t="shared" si="10"/>
        <v>13858741.4</v>
      </c>
      <c r="D88" s="15">
        <f t="shared" si="11"/>
        <v>1132243</v>
      </c>
      <c r="E88" s="15"/>
      <c r="F88" s="15"/>
      <c r="G88" s="15">
        <f t="shared" si="12"/>
        <v>7495492</v>
      </c>
      <c r="H88" s="15"/>
      <c r="I88" s="15">
        <f t="shared" si="13"/>
        <v>7495492.2</v>
      </c>
      <c r="J88" s="15">
        <f t="shared" si="13"/>
        <v>0</v>
      </c>
      <c r="K88" s="15">
        <f t="shared" si="13"/>
        <v>0</v>
      </c>
      <c r="L88" s="15"/>
      <c r="M88" s="82">
        <v>13858741.4</v>
      </c>
      <c r="N88" s="82">
        <v>0</v>
      </c>
      <c r="O88" s="82">
        <v>0</v>
      </c>
      <c r="P88" s="15"/>
      <c r="Q88" s="82">
        <v>1132243</v>
      </c>
      <c r="R88" s="82">
        <v>0</v>
      </c>
      <c r="S88" s="82">
        <v>0</v>
      </c>
    </row>
    <row r="89" spans="1:19" ht="14.25">
      <c r="A89" s="17">
        <f t="shared" si="14"/>
        <v>73</v>
      </c>
      <c r="B89" s="14" t="s">
        <v>80</v>
      </c>
      <c r="C89" s="15">
        <f t="shared" si="10"/>
        <v>45312.05</v>
      </c>
      <c r="D89" s="15">
        <f t="shared" si="11"/>
        <v>45312.05</v>
      </c>
      <c r="E89" s="15"/>
      <c r="F89" s="15"/>
      <c r="G89" s="15">
        <f t="shared" si="12"/>
        <v>45312</v>
      </c>
      <c r="H89" s="15"/>
      <c r="I89" s="15">
        <f t="shared" si="13"/>
        <v>0</v>
      </c>
      <c r="J89" s="15">
        <f t="shared" si="13"/>
        <v>18841.9</v>
      </c>
      <c r="K89" s="15">
        <f t="shared" si="13"/>
        <v>26470.15</v>
      </c>
      <c r="L89" s="15"/>
      <c r="M89" s="82">
        <v>0</v>
      </c>
      <c r="N89" s="82">
        <v>18841.9</v>
      </c>
      <c r="O89" s="83">
        <v>26470.15</v>
      </c>
      <c r="P89" s="15"/>
      <c r="Q89" s="82">
        <v>0</v>
      </c>
      <c r="R89" s="82">
        <v>18841.9</v>
      </c>
      <c r="S89" s="82">
        <v>26470.15</v>
      </c>
    </row>
    <row r="90" spans="1:19" ht="14.25">
      <c r="A90" s="17">
        <f t="shared" si="14"/>
        <v>74</v>
      </c>
      <c r="B90" s="14" t="s">
        <v>81</v>
      </c>
      <c r="C90" s="15">
        <f t="shared" si="10"/>
        <v>-15741.95</v>
      </c>
      <c r="D90" s="15">
        <f t="shared" si="11"/>
        <v>-15741.95</v>
      </c>
      <c r="E90" s="15"/>
      <c r="F90" s="15"/>
      <c r="G90" s="15">
        <f t="shared" si="12"/>
        <v>-15742</v>
      </c>
      <c r="H90" s="15"/>
      <c r="I90" s="15">
        <f t="shared" si="13"/>
        <v>0</v>
      </c>
      <c r="J90" s="15">
        <f t="shared" si="13"/>
        <v>-11175.15</v>
      </c>
      <c r="K90" s="15">
        <f t="shared" si="13"/>
        <v>-4566.8</v>
      </c>
      <c r="L90" s="15"/>
      <c r="M90" s="82">
        <v>0</v>
      </c>
      <c r="N90" s="82">
        <v>-11175.15</v>
      </c>
      <c r="O90" s="82">
        <v>-4566.8</v>
      </c>
      <c r="P90" s="15"/>
      <c r="Q90" s="82">
        <v>0</v>
      </c>
      <c r="R90" s="82">
        <v>-11175.15</v>
      </c>
      <c r="S90" s="82">
        <v>-4566.8</v>
      </c>
    </row>
    <row r="91" spans="1:19" ht="14.25">
      <c r="A91" s="17">
        <f t="shared" si="14"/>
        <v>75</v>
      </c>
      <c r="B91" s="14" t="s">
        <v>582</v>
      </c>
      <c r="C91" s="15">
        <f t="shared" si="10"/>
        <v>0</v>
      </c>
      <c r="D91" s="15">
        <f>SUM(Q91:S91)</f>
        <v>373854.37</v>
      </c>
      <c r="E91" s="15"/>
      <c r="F91" s="15"/>
      <c r="G91" s="15">
        <f t="shared" si="12"/>
        <v>186927</v>
      </c>
      <c r="H91" s="15"/>
      <c r="I91" s="15">
        <f t="shared" si="13"/>
        <v>186927.185</v>
      </c>
      <c r="J91" s="15">
        <f t="shared" si="13"/>
        <v>0</v>
      </c>
      <c r="K91" s="15">
        <f t="shared" si="13"/>
        <v>0</v>
      </c>
      <c r="L91" s="15"/>
      <c r="M91" s="82">
        <v>0</v>
      </c>
      <c r="N91" s="82">
        <v>0</v>
      </c>
      <c r="O91" s="82">
        <v>0</v>
      </c>
      <c r="P91" s="15"/>
      <c r="Q91" s="82">
        <v>373854.37</v>
      </c>
      <c r="R91" s="82">
        <v>0</v>
      </c>
      <c r="S91" s="82">
        <v>0</v>
      </c>
    </row>
    <row r="92" spans="1:19" ht="14.25">
      <c r="A92" s="17">
        <f t="shared" si="14"/>
        <v>76</v>
      </c>
      <c r="B92" s="14" t="s">
        <v>82</v>
      </c>
      <c r="C92" s="15">
        <f t="shared" si="10"/>
        <v>32715675.08</v>
      </c>
      <c r="D92" s="15">
        <f t="shared" si="11"/>
        <v>30330089.99</v>
      </c>
      <c r="E92" s="15"/>
      <c r="F92" s="15"/>
      <c r="G92" s="15">
        <f t="shared" si="12"/>
        <v>31522883</v>
      </c>
      <c r="H92" s="15"/>
      <c r="I92" s="15">
        <f t="shared" si="13"/>
        <v>0</v>
      </c>
      <c r="J92" s="15">
        <f t="shared" si="13"/>
        <v>0</v>
      </c>
      <c r="K92" s="15">
        <f t="shared" si="13"/>
        <v>31522882.534999996</v>
      </c>
      <c r="L92" s="15"/>
      <c r="M92" s="82">
        <v>0</v>
      </c>
      <c r="N92" s="82">
        <v>0</v>
      </c>
      <c r="O92" s="82">
        <v>32715675.08</v>
      </c>
      <c r="P92" s="15"/>
      <c r="Q92" s="82">
        <v>0</v>
      </c>
      <c r="R92" s="82">
        <v>0</v>
      </c>
      <c r="S92" s="82">
        <v>30330089.99</v>
      </c>
    </row>
    <row r="93" spans="1:19" ht="14.25">
      <c r="A93" s="17">
        <f t="shared" si="14"/>
        <v>77</v>
      </c>
      <c r="B93" s="14" t="s">
        <v>265</v>
      </c>
      <c r="C93" s="15">
        <f t="shared" si="10"/>
        <v>0.12</v>
      </c>
      <c r="D93" s="15">
        <f t="shared" si="11"/>
        <v>0.04</v>
      </c>
      <c r="E93" s="15"/>
      <c r="F93" s="15"/>
      <c r="G93" s="15">
        <f t="shared" si="12"/>
        <v>0</v>
      </c>
      <c r="H93" s="15"/>
      <c r="I93" s="15">
        <f t="shared" si="13"/>
        <v>0.04</v>
      </c>
      <c r="J93" s="15">
        <f t="shared" si="13"/>
        <v>0</v>
      </c>
      <c r="K93" s="15">
        <f t="shared" si="13"/>
        <v>0.04</v>
      </c>
      <c r="L93" s="15"/>
      <c r="M93" s="82">
        <v>0.08</v>
      </c>
      <c r="N93" s="82">
        <v>0</v>
      </c>
      <c r="O93" s="82">
        <v>0.04</v>
      </c>
      <c r="P93" s="15"/>
      <c r="Q93" s="82">
        <v>0</v>
      </c>
      <c r="R93" s="82">
        <v>0</v>
      </c>
      <c r="S93" s="82">
        <v>0.04</v>
      </c>
    </row>
    <row r="94" spans="1:19" ht="14.25">
      <c r="A94" s="17">
        <f t="shared" si="14"/>
        <v>78</v>
      </c>
      <c r="B94" s="14" t="s">
        <v>266</v>
      </c>
      <c r="C94" s="15">
        <f t="shared" si="10"/>
        <v>0</v>
      </c>
      <c r="D94" s="15">
        <f>SUM(Q94:S94)</f>
        <v>314054.3</v>
      </c>
      <c r="E94" s="15"/>
      <c r="F94" s="15"/>
      <c r="G94" s="15">
        <f t="shared" si="12"/>
        <v>157027</v>
      </c>
      <c r="H94" s="15"/>
      <c r="I94" s="15">
        <f t="shared" si="13"/>
        <v>0</v>
      </c>
      <c r="J94" s="15">
        <f t="shared" si="13"/>
        <v>0</v>
      </c>
      <c r="K94" s="15">
        <f t="shared" si="13"/>
        <v>157027.15</v>
      </c>
      <c r="L94" s="15"/>
      <c r="M94" s="82">
        <v>0</v>
      </c>
      <c r="N94" s="82">
        <v>0</v>
      </c>
      <c r="O94" s="82">
        <v>0</v>
      </c>
      <c r="P94" s="15"/>
      <c r="Q94" s="82">
        <v>0</v>
      </c>
      <c r="R94" s="82">
        <v>0</v>
      </c>
      <c r="S94" s="82">
        <v>314054.3</v>
      </c>
    </row>
    <row r="95" spans="1:19" ht="14.25">
      <c r="A95" s="17">
        <f t="shared" si="14"/>
        <v>79</v>
      </c>
      <c r="B95" s="21" t="s">
        <v>536</v>
      </c>
      <c r="C95" s="15">
        <f t="shared" si="10"/>
        <v>154926</v>
      </c>
      <c r="D95" s="15">
        <f t="shared" si="11"/>
        <v>154926</v>
      </c>
      <c r="E95" s="15"/>
      <c r="F95" s="15"/>
      <c r="G95" s="15">
        <f t="shared" si="12"/>
        <v>154926</v>
      </c>
      <c r="H95" s="15"/>
      <c r="I95" s="15">
        <f t="shared" si="13"/>
        <v>154926</v>
      </c>
      <c r="J95" s="15">
        <f t="shared" si="13"/>
        <v>0</v>
      </c>
      <c r="K95" s="15">
        <f t="shared" si="13"/>
        <v>0</v>
      </c>
      <c r="L95" s="15"/>
      <c r="M95" s="82">
        <v>154926</v>
      </c>
      <c r="N95" s="82">
        <v>0</v>
      </c>
      <c r="O95" s="82">
        <v>0</v>
      </c>
      <c r="P95" s="15"/>
      <c r="Q95" s="82">
        <v>154926</v>
      </c>
      <c r="R95" s="82">
        <v>0</v>
      </c>
      <c r="S95" s="82">
        <v>0</v>
      </c>
    </row>
    <row r="96" spans="1:19" ht="14.25">
      <c r="A96" s="17">
        <f t="shared" si="14"/>
        <v>80</v>
      </c>
      <c r="B96" s="14" t="s">
        <v>268</v>
      </c>
      <c r="C96" s="15">
        <f>SUM(M96:O96)</f>
        <v>9766184.7</v>
      </c>
      <c r="D96" s="15">
        <f>SUM(Q96:S96)</f>
        <v>9195549.25</v>
      </c>
      <c r="E96" s="15"/>
      <c r="F96" s="15"/>
      <c r="G96" s="15">
        <f>ROUND(SUM(C96:F96)/2,0)</f>
        <v>9480867</v>
      </c>
      <c r="H96" s="15"/>
      <c r="I96" s="15">
        <f t="shared" si="13"/>
        <v>9480866.975</v>
      </c>
      <c r="J96" s="15">
        <f t="shared" si="13"/>
        <v>0</v>
      </c>
      <c r="K96" s="15">
        <f t="shared" si="13"/>
        <v>0</v>
      </c>
      <c r="L96" s="15"/>
      <c r="M96" s="82">
        <f>8000168.7+1766016</f>
        <v>9766184.7</v>
      </c>
      <c r="N96" s="82">
        <v>0</v>
      </c>
      <c r="O96" s="82">
        <v>0</v>
      </c>
      <c r="P96" s="15"/>
      <c r="Q96" s="82">
        <v>9195549.25</v>
      </c>
      <c r="R96" s="82">
        <v>0</v>
      </c>
      <c r="S96" s="82">
        <v>0</v>
      </c>
    </row>
    <row r="97" spans="1:19" ht="14.25">
      <c r="A97" s="17">
        <f t="shared" si="14"/>
        <v>81</v>
      </c>
      <c r="B97" s="14" t="s">
        <v>269</v>
      </c>
      <c r="C97" s="15">
        <f t="shared" si="10"/>
        <v>-375757.85</v>
      </c>
      <c r="D97" s="15">
        <f t="shared" si="11"/>
        <v>-375757.85</v>
      </c>
      <c r="E97" s="15"/>
      <c r="F97" s="15"/>
      <c r="G97" s="15">
        <f t="shared" si="12"/>
        <v>-375758</v>
      </c>
      <c r="H97" s="15"/>
      <c r="I97" s="15">
        <f t="shared" si="13"/>
        <v>-375757.85</v>
      </c>
      <c r="J97" s="15">
        <f t="shared" si="13"/>
        <v>0</v>
      </c>
      <c r="K97" s="15">
        <f t="shared" si="13"/>
        <v>0</v>
      </c>
      <c r="L97" s="15"/>
      <c r="M97" s="82">
        <f>-61617.85-314140</f>
        <v>-375757.85</v>
      </c>
      <c r="N97" s="82">
        <v>0</v>
      </c>
      <c r="O97" s="82">
        <v>0</v>
      </c>
      <c r="P97" s="15"/>
      <c r="Q97" s="82">
        <v>-375757.85</v>
      </c>
      <c r="R97" s="82">
        <v>0</v>
      </c>
      <c r="S97" s="82">
        <v>0</v>
      </c>
    </row>
    <row r="98" spans="1:19" ht="14.25">
      <c r="A98" s="17">
        <f t="shared" si="14"/>
        <v>82</v>
      </c>
      <c r="B98" s="14" t="s">
        <v>83</v>
      </c>
      <c r="C98" s="15">
        <f t="shared" si="10"/>
        <v>-11908</v>
      </c>
      <c r="D98" s="15">
        <f t="shared" si="11"/>
        <v>-11907.75</v>
      </c>
      <c r="E98" s="15"/>
      <c r="F98" s="15"/>
      <c r="G98" s="15">
        <f t="shared" si="12"/>
        <v>-11908</v>
      </c>
      <c r="H98" s="15"/>
      <c r="I98" s="15">
        <f t="shared" si="13"/>
        <v>-11907.875</v>
      </c>
      <c r="J98" s="15">
        <f t="shared" si="13"/>
        <v>0</v>
      </c>
      <c r="K98" s="15">
        <f t="shared" si="13"/>
        <v>0</v>
      </c>
      <c r="L98" s="15"/>
      <c r="M98" s="82">
        <v>-11908</v>
      </c>
      <c r="N98" s="82">
        <v>0</v>
      </c>
      <c r="O98" s="82">
        <v>0</v>
      </c>
      <c r="P98" s="15"/>
      <c r="Q98" s="82">
        <v>-11907.75</v>
      </c>
      <c r="R98" s="82">
        <v>0</v>
      </c>
      <c r="S98" s="82">
        <v>0</v>
      </c>
    </row>
    <row r="99" spans="1:19" ht="14.25">
      <c r="A99" s="17">
        <f t="shared" si="14"/>
        <v>83</v>
      </c>
      <c r="B99" s="21" t="s">
        <v>171</v>
      </c>
      <c r="C99" s="15">
        <f>SUM(M99:O99)</f>
        <v>105145</v>
      </c>
      <c r="D99" s="15">
        <f>SUM(Q99:S99)</f>
        <v>0</v>
      </c>
      <c r="E99" s="15"/>
      <c r="F99" s="15"/>
      <c r="G99" s="15">
        <f>ROUND(SUM(C99:F99)/2,0)</f>
        <v>52573</v>
      </c>
      <c r="H99" s="15"/>
      <c r="I99" s="15">
        <f t="shared" si="13"/>
        <v>52572.5</v>
      </c>
      <c r="J99" s="15">
        <f t="shared" si="13"/>
        <v>0</v>
      </c>
      <c r="K99" s="15">
        <f t="shared" si="13"/>
        <v>0</v>
      </c>
      <c r="L99" s="15"/>
      <c r="M99" s="82">
        <v>105145</v>
      </c>
      <c r="N99" s="82">
        <v>0</v>
      </c>
      <c r="O99" s="82">
        <v>0</v>
      </c>
      <c r="P99" s="15"/>
      <c r="Q99" s="82">
        <v>0</v>
      </c>
      <c r="R99" s="82">
        <v>0</v>
      </c>
      <c r="S99" s="82">
        <v>0</v>
      </c>
    </row>
    <row r="100" spans="1:19" ht="14.25">
      <c r="A100" s="17">
        <f t="shared" si="14"/>
        <v>84</v>
      </c>
      <c r="B100" s="14" t="s">
        <v>84</v>
      </c>
      <c r="C100" s="15">
        <f t="shared" si="10"/>
        <v>830139.64</v>
      </c>
      <c r="D100" s="15">
        <f t="shared" si="11"/>
        <v>636014.73</v>
      </c>
      <c r="E100" s="15"/>
      <c r="F100" s="15"/>
      <c r="G100" s="15">
        <f t="shared" si="12"/>
        <v>733077</v>
      </c>
      <c r="H100" s="15"/>
      <c r="I100" s="15">
        <f t="shared" si="13"/>
        <v>0</v>
      </c>
      <c r="J100" s="15">
        <f t="shared" si="13"/>
        <v>0</v>
      </c>
      <c r="K100" s="15">
        <f t="shared" si="13"/>
        <v>733077.185</v>
      </c>
      <c r="L100" s="15"/>
      <c r="M100" s="82">
        <v>0</v>
      </c>
      <c r="N100" s="82">
        <v>0</v>
      </c>
      <c r="O100" s="82">
        <v>830139.64</v>
      </c>
      <c r="P100" s="15"/>
      <c r="Q100" s="82">
        <v>0</v>
      </c>
      <c r="R100" s="82">
        <v>0</v>
      </c>
      <c r="S100" s="82">
        <v>636014.73</v>
      </c>
    </row>
    <row r="101" spans="1:19" ht="14.25">
      <c r="A101" s="17">
        <f t="shared" si="14"/>
        <v>85</v>
      </c>
      <c r="B101" s="14" t="s">
        <v>85</v>
      </c>
      <c r="C101" s="15">
        <f t="shared" si="10"/>
        <v>-0.97</v>
      </c>
      <c r="D101" s="15">
        <f t="shared" si="11"/>
        <v>-0.97</v>
      </c>
      <c r="E101" s="15"/>
      <c r="F101" s="15"/>
      <c r="G101" s="15">
        <f t="shared" si="12"/>
        <v>-1</v>
      </c>
      <c r="H101" s="15"/>
      <c r="I101" s="15">
        <f t="shared" si="13"/>
        <v>0</v>
      </c>
      <c r="J101" s="15">
        <f t="shared" si="13"/>
        <v>0</v>
      </c>
      <c r="K101" s="15">
        <f t="shared" si="13"/>
        <v>-0.97</v>
      </c>
      <c r="L101" s="15"/>
      <c r="M101" s="82">
        <v>0</v>
      </c>
      <c r="N101" s="82">
        <v>0</v>
      </c>
      <c r="O101" s="82">
        <v>-0.97</v>
      </c>
      <c r="P101" s="15"/>
      <c r="Q101" s="82">
        <v>0</v>
      </c>
      <c r="R101" s="82">
        <v>0</v>
      </c>
      <c r="S101" s="82">
        <v>-0.97</v>
      </c>
    </row>
    <row r="102" spans="1:19" ht="14.25">
      <c r="A102" s="17">
        <f t="shared" si="14"/>
        <v>86</v>
      </c>
      <c r="B102" s="14" t="s">
        <v>583</v>
      </c>
      <c r="C102" s="15">
        <f t="shared" si="10"/>
        <v>2258617.34</v>
      </c>
      <c r="D102" s="15">
        <f t="shared" si="11"/>
        <v>1546214.05</v>
      </c>
      <c r="E102" s="15"/>
      <c r="F102" s="15"/>
      <c r="G102" s="15">
        <f t="shared" si="12"/>
        <v>1902416</v>
      </c>
      <c r="H102" s="15"/>
      <c r="I102" s="15">
        <f t="shared" si="13"/>
        <v>1902415.6949999998</v>
      </c>
      <c r="J102" s="15">
        <f t="shared" si="13"/>
        <v>0</v>
      </c>
      <c r="K102" s="15">
        <f t="shared" si="13"/>
        <v>0</v>
      </c>
      <c r="L102" s="15"/>
      <c r="M102" s="82">
        <v>2258617.34</v>
      </c>
      <c r="N102" s="82">
        <v>0</v>
      </c>
      <c r="O102" s="82">
        <v>0</v>
      </c>
      <c r="P102" s="15"/>
      <c r="Q102" s="82">
        <v>1546214.05</v>
      </c>
      <c r="R102" s="82">
        <v>0</v>
      </c>
      <c r="S102" s="82">
        <v>0</v>
      </c>
    </row>
    <row r="103" spans="1:19" ht="14.25">
      <c r="A103" s="17">
        <f t="shared" si="14"/>
        <v>87</v>
      </c>
      <c r="B103" s="21" t="s">
        <v>378</v>
      </c>
      <c r="C103" s="15">
        <f aca="true" t="shared" si="15" ref="C103:C109">SUM(M103:O103)</f>
        <v>76201445.6</v>
      </c>
      <c r="D103" s="15">
        <f t="shared" si="11"/>
        <v>81290352.5</v>
      </c>
      <c r="E103" s="15"/>
      <c r="F103" s="15"/>
      <c r="G103" s="15">
        <f t="shared" si="12"/>
        <v>78745899</v>
      </c>
      <c r="H103" s="15"/>
      <c r="I103" s="15">
        <f t="shared" si="13"/>
        <v>29946456.05</v>
      </c>
      <c r="J103" s="15">
        <f t="shared" si="13"/>
        <v>5564245.225</v>
      </c>
      <c r="K103" s="15">
        <f t="shared" si="13"/>
        <v>43235197.775000006</v>
      </c>
      <c r="L103" s="15"/>
      <c r="M103" s="82">
        <v>28870678.55</v>
      </c>
      <c r="N103" s="82">
        <v>5048230.95</v>
      </c>
      <c r="O103" s="82">
        <v>42282536.1</v>
      </c>
      <c r="P103" s="15"/>
      <c r="Q103" s="82">
        <v>31022233.55</v>
      </c>
      <c r="R103" s="82">
        <v>6080259.5</v>
      </c>
      <c r="S103" s="82">
        <v>44187859.45</v>
      </c>
    </row>
    <row r="104" spans="1:19" ht="14.25">
      <c r="A104" s="17">
        <f t="shared" si="14"/>
        <v>88</v>
      </c>
      <c r="B104" s="21" t="s">
        <v>379</v>
      </c>
      <c r="C104" s="15">
        <f t="shared" si="15"/>
        <v>76486.9</v>
      </c>
      <c r="D104" s="15">
        <f t="shared" si="11"/>
        <v>194948.25</v>
      </c>
      <c r="E104" s="15"/>
      <c r="F104" s="15"/>
      <c r="G104" s="15">
        <f t="shared" si="12"/>
        <v>135718</v>
      </c>
      <c r="H104" s="15"/>
      <c r="I104" s="15">
        <f aca="true" t="shared" si="16" ref="I104:K124">(+M104+Q104)/2</f>
        <v>105.35</v>
      </c>
      <c r="J104" s="15">
        <f t="shared" si="16"/>
        <v>0</v>
      </c>
      <c r="K104" s="15">
        <f t="shared" si="16"/>
        <v>135612.225</v>
      </c>
      <c r="L104" s="15"/>
      <c r="M104" s="82">
        <v>366.45</v>
      </c>
      <c r="N104" s="82">
        <v>0</v>
      </c>
      <c r="O104" s="82">
        <v>76120.45</v>
      </c>
      <c r="P104" s="15"/>
      <c r="Q104" s="82">
        <v>-155.75</v>
      </c>
      <c r="R104" s="82">
        <v>0</v>
      </c>
      <c r="S104" s="82">
        <v>195104</v>
      </c>
    </row>
    <row r="105" spans="1:19" ht="14.25">
      <c r="A105" s="17">
        <f t="shared" si="14"/>
        <v>89</v>
      </c>
      <c r="B105" s="21" t="s">
        <v>380</v>
      </c>
      <c r="C105" s="15">
        <f t="shared" si="15"/>
        <v>-8915685.870000001</v>
      </c>
      <c r="D105" s="15">
        <f t="shared" si="11"/>
        <v>-7115595.2</v>
      </c>
      <c r="E105" s="15"/>
      <c r="F105" s="15"/>
      <c r="G105" s="15">
        <f t="shared" si="12"/>
        <v>-8015641</v>
      </c>
      <c r="H105" s="15"/>
      <c r="I105" s="15">
        <f t="shared" si="16"/>
        <v>-3456279.2</v>
      </c>
      <c r="J105" s="15">
        <f t="shared" si="16"/>
        <v>-477187.385</v>
      </c>
      <c r="K105" s="15">
        <f t="shared" si="16"/>
        <v>-4082173.95</v>
      </c>
      <c r="L105" s="15"/>
      <c r="M105" s="82">
        <v>-3820917.9</v>
      </c>
      <c r="N105" s="82">
        <v>-586610.61</v>
      </c>
      <c r="O105" s="82">
        <v>-4508157.36</v>
      </c>
      <c r="P105" s="15"/>
      <c r="Q105" s="82">
        <v>-3091640.5</v>
      </c>
      <c r="R105" s="82">
        <v>-367764.16</v>
      </c>
      <c r="S105" s="82">
        <v>-3656190.54</v>
      </c>
    </row>
    <row r="106" spans="1:19" ht="14.25">
      <c r="A106" s="17">
        <f t="shared" si="14"/>
        <v>90</v>
      </c>
      <c r="B106" s="21" t="s">
        <v>584</v>
      </c>
      <c r="C106" s="15">
        <f t="shared" si="15"/>
        <v>16562761.22</v>
      </c>
      <c r="D106" s="15">
        <f t="shared" si="11"/>
        <v>18607280.52</v>
      </c>
      <c r="E106" s="15"/>
      <c r="F106" s="15"/>
      <c r="G106" s="15">
        <f t="shared" si="12"/>
        <v>17585021</v>
      </c>
      <c r="H106" s="15"/>
      <c r="I106" s="15">
        <f t="shared" si="16"/>
        <v>0</v>
      </c>
      <c r="J106" s="15">
        <f t="shared" si="16"/>
        <v>17585020.87</v>
      </c>
      <c r="K106" s="15">
        <f t="shared" si="16"/>
        <v>0</v>
      </c>
      <c r="L106" s="15"/>
      <c r="M106" s="82">
        <v>0</v>
      </c>
      <c r="N106" s="82">
        <v>16562761.22</v>
      </c>
      <c r="O106" s="82">
        <v>0</v>
      </c>
      <c r="P106" s="15"/>
      <c r="Q106" s="82">
        <v>0</v>
      </c>
      <c r="R106" s="82">
        <v>18607280.52</v>
      </c>
      <c r="S106" s="82">
        <v>0</v>
      </c>
    </row>
    <row r="107" spans="1:19" ht="14.25">
      <c r="A107" s="17">
        <f t="shared" si="14"/>
        <v>91</v>
      </c>
      <c r="B107" s="21" t="s">
        <v>585</v>
      </c>
      <c r="C107" s="15">
        <f t="shared" si="15"/>
        <v>-4435705.02</v>
      </c>
      <c r="D107" s="15">
        <f t="shared" si="11"/>
        <v>-4435705.02</v>
      </c>
      <c r="E107" s="15"/>
      <c r="F107" s="15"/>
      <c r="G107" s="15">
        <f t="shared" si="12"/>
        <v>-4435705</v>
      </c>
      <c r="H107" s="15"/>
      <c r="I107" s="15">
        <f t="shared" si="16"/>
        <v>-4435705.02</v>
      </c>
      <c r="J107" s="15">
        <f t="shared" si="16"/>
        <v>0</v>
      </c>
      <c r="K107" s="15">
        <f t="shared" si="16"/>
        <v>0</v>
      </c>
      <c r="L107" s="15"/>
      <c r="M107" s="82">
        <v>-4435705.02</v>
      </c>
      <c r="N107" s="82">
        <v>0</v>
      </c>
      <c r="O107" s="82">
        <v>0</v>
      </c>
      <c r="P107" s="15"/>
      <c r="Q107" s="82">
        <v>-4435705.02</v>
      </c>
      <c r="R107" s="82">
        <v>0</v>
      </c>
      <c r="S107" s="82">
        <v>0</v>
      </c>
    </row>
    <row r="108" spans="1:19" ht="14.25">
      <c r="A108" s="17">
        <f t="shared" si="14"/>
        <v>92</v>
      </c>
      <c r="B108" s="21" t="s">
        <v>586</v>
      </c>
      <c r="C108" s="15">
        <f t="shared" si="15"/>
        <v>0</v>
      </c>
      <c r="D108" s="15">
        <f t="shared" si="11"/>
        <v>0</v>
      </c>
      <c r="E108" s="15"/>
      <c r="F108" s="15"/>
      <c r="G108" s="15">
        <f t="shared" si="12"/>
        <v>0</v>
      </c>
      <c r="H108" s="15"/>
      <c r="I108" s="15">
        <f t="shared" si="16"/>
        <v>0</v>
      </c>
      <c r="J108" s="15">
        <f t="shared" si="16"/>
        <v>0</v>
      </c>
      <c r="K108" s="15">
        <f t="shared" si="16"/>
        <v>0</v>
      </c>
      <c r="L108" s="15"/>
      <c r="M108" s="82">
        <v>0</v>
      </c>
      <c r="N108" s="82">
        <v>0</v>
      </c>
      <c r="O108" s="82">
        <v>0</v>
      </c>
      <c r="P108" s="15"/>
      <c r="Q108" s="82">
        <v>0</v>
      </c>
      <c r="R108" s="82">
        <v>0</v>
      </c>
      <c r="S108" s="82">
        <v>0</v>
      </c>
    </row>
    <row r="109" spans="1:19" ht="14.25">
      <c r="A109" s="17">
        <f t="shared" si="14"/>
        <v>93</v>
      </c>
      <c r="B109" s="21" t="s">
        <v>587</v>
      </c>
      <c r="C109" s="15">
        <f t="shared" si="15"/>
        <v>0.34</v>
      </c>
      <c r="D109" s="15">
        <f t="shared" si="11"/>
        <v>0</v>
      </c>
      <c r="E109" s="15"/>
      <c r="F109" s="15"/>
      <c r="G109" s="15">
        <f t="shared" si="12"/>
        <v>0</v>
      </c>
      <c r="H109" s="15"/>
      <c r="I109" s="15">
        <f t="shared" si="16"/>
        <v>0.17</v>
      </c>
      <c r="J109" s="15">
        <f t="shared" si="16"/>
        <v>0</v>
      </c>
      <c r="K109" s="15">
        <f t="shared" si="16"/>
        <v>0</v>
      </c>
      <c r="L109" s="15"/>
      <c r="M109" s="82">
        <v>0.34</v>
      </c>
      <c r="N109" s="82">
        <v>0</v>
      </c>
      <c r="O109" s="82">
        <v>0</v>
      </c>
      <c r="P109" s="15"/>
      <c r="Q109" s="82">
        <v>0</v>
      </c>
      <c r="R109" s="82">
        <v>0</v>
      </c>
      <c r="S109" s="82">
        <v>0</v>
      </c>
    </row>
    <row r="110" spans="1:19" ht="14.25">
      <c r="A110" s="17">
        <f t="shared" si="14"/>
        <v>94</v>
      </c>
      <c r="B110" s="14" t="s">
        <v>87</v>
      </c>
      <c r="C110" s="15">
        <f>SUM(M110:O110)</f>
        <v>274.15</v>
      </c>
      <c r="D110" s="15">
        <f>SUM(Q110:S110)</f>
        <v>0</v>
      </c>
      <c r="E110" s="15"/>
      <c r="F110" s="15"/>
      <c r="G110" s="15">
        <f t="shared" si="12"/>
        <v>137</v>
      </c>
      <c r="H110" s="15"/>
      <c r="I110" s="15">
        <f t="shared" si="16"/>
        <v>137.075</v>
      </c>
      <c r="J110" s="15">
        <f t="shared" si="16"/>
        <v>0</v>
      </c>
      <c r="K110" s="15">
        <f t="shared" si="16"/>
        <v>0</v>
      </c>
      <c r="L110" s="15"/>
      <c r="M110" s="82">
        <v>274.15</v>
      </c>
      <c r="N110" s="82">
        <v>0</v>
      </c>
      <c r="O110" s="82">
        <v>0</v>
      </c>
      <c r="P110" s="15"/>
      <c r="Q110" s="82">
        <v>0</v>
      </c>
      <c r="R110" s="82">
        <v>0</v>
      </c>
      <c r="S110" s="82">
        <v>0</v>
      </c>
    </row>
    <row r="111" spans="1:19" ht="14.25">
      <c r="A111" s="17">
        <f t="shared" si="14"/>
        <v>95</v>
      </c>
      <c r="B111" s="14" t="s">
        <v>88</v>
      </c>
      <c r="C111" s="15">
        <f aca="true" t="shared" si="17" ref="C111:C124">SUM(M111:O111)</f>
        <v>-1879165.59</v>
      </c>
      <c r="D111" s="15">
        <f aca="true" t="shared" si="18" ref="D111:D126">SUM(Q111:S111)</f>
        <v>-2581218.44</v>
      </c>
      <c r="E111" s="15"/>
      <c r="F111" s="15"/>
      <c r="G111" s="15">
        <f t="shared" si="12"/>
        <v>-2230192</v>
      </c>
      <c r="H111" s="15"/>
      <c r="I111" s="15">
        <f t="shared" si="16"/>
        <v>-3404023.26</v>
      </c>
      <c r="J111" s="15">
        <f t="shared" si="16"/>
        <v>184341</v>
      </c>
      <c r="K111" s="15">
        <f t="shared" si="16"/>
        <v>989490.245</v>
      </c>
      <c r="L111" s="15"/>
      <c r="M111" s="82">
        <v>-3209507.65</v>
      </c>
      <c r="N111" s="82">
        <v>208919.8</v>
      </c>
      <c r="O111" s="82">
        <v>1121422.26</v>
      </c>
      <c r="P111" s="15"/>
      <c r="Q111" s="82">
        <v>-3598538.87</v>
      </c>
      <c r="R111" s="82">
        <v>159762.2</v>
      </c>
      <c r="S111" s="82">
        <v>857558.23</v>
      </c>
    </row>
    <row r="112" spans="1:19" ht="14.25">
      <c r="A112" s="17">
        <f t="shared" si="14"/>
        <v>96</v>
      </c>
      <c r="B112" s="14" t="s">
        <v>89</v>
      </c>
      <c r="C112" s="15">
        <f t="shared" si="17"/>
        <v>1159375.35</v>
      </c>
      <c r="D112" s="15">
        <f t="shared" si="18"/>
        <v>1006250.01</v>
      </c>
      <c r="E112" s="15"/>
      <c r="F112" s="15"/>
      <c r="G112" s="15">
        <f t="shared" si="12"/>
        <v>1082813</v>
      </c>
      <c r="H112" s="15"/>
      <c r="I112" s="15">
        <f t="shared" si="16"/>
        <v>1082812.6800000002</v>
      </c>
      <c r="J112" s="15">
        <f t="shared" si="16"/>
        <v>0</v>
      </c>
      <c r="K112" s="15">
        <f t="shared" si="16"/>
        <v>0</v>
      </c>
      <c r="L112" s="15"/>
      <c r="M112" s="82">
        <v>1159375.35</v>
      </c>
      <c r="N112" s="82">
        <v>0</v>
      </c>
      <c r="O112" s="82">
        <v>0</v>
      </c>
      <c r="P112" s="15"/>
      <c r="Q112" s="82">
        <v>1006250.01</v>
      </c>
      <c r="R112" s="82">
        <v>0</v>
      </c>
      <c r="S112" s="82">
        <v>0</v>
      </c>
    </row>
    <row r="113" spans="1:19" ht="14.25">
      <c r="A113" s="17">
        <f t="shared" si="14"/>
        <v>97</v>
      </c>
      <c r="B113" s="14" t="s">
        <v>90</v>
      </c>
      <c r="C113" s="15">
        <f t="shared" si="17"/>
        <v>0</v>
      </c>
      <c r="D113" s="15">
        <f t="shared" si="18"/>
        <v>0</v>
      </c>
      <c r="E113" s="15"/>
      <c r="F113" s="15"/>
      <c r="G113" s="15">
        <f t="shared" si="12"/>
        <v>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  <c r="L113" s="15"/>
      <c r="M113" s="82">
        <v>0</v>
      </c>
      <c r="N113" s="82">
        <v>0</v>
      </c>
      <c r="O113" s="82">
        <v>0</v>
      </c>
      <c r="P113" s="15"/>
      <c r="Q113" s="82">
        <v>0</v>
      </c>
      <c r="R113" s="82">
        <v>0</v>
      </c>
      <c r="S113" s="82">
        <v>0</v>
      </c>
    </row>
    <row r="114" spans="1:19" ht="14.25">
      <c r="A114" s="17">
        <f t="shared" si="14"/>
        <v>98</v>
      </c>
      <c r="B114" s="14" t="s">
        <v>91</v>
      </c>
      <c r="C114" s="15">
        <f t="shared" si="17"/>
        <v>450546.63</v>
      </c>
      <c r="D114" s="15">
        <f t="shared" si="18"/>
        <v>450546.63</v>
      </c>
      <c r="E114" s="15"/>
      <c r="F114" s="15"/>
      <c r="G114" s="15">
        <f t="shared" si="12"/>
        <v>450547</v>
      </c>
      <c r="H114" s="15"/>
      <c r="I114" s="15">
        <f t="shared" si="16"/>
        <v>450546.63</v>
      </c>
      <c r="J114" s="15">
        <f t="shared" si="16"/>
        <v>0</v>
      </c>
      <c r="K114" s="15">
        <f t="shared" si="16"/>
        <v>0</v>
      </c>
      <c r="L114" s="15"/>
      <c r="M114" s="82">
        <v>450546.63</v>
      </c>
      <c r="N114" s="82">
        <v>0</v>
      </c>
      <c r="O114" s="82">
        <v>0</v>
      </c>
      <c r="P114" s="15"/>
      <c r="Q114" s="82">
        <v>450546.63</v>
      </c>
      <c r="R114" s="82">
        <v>0</v>
      </c>
      <c r="S114" s="82">
        <v>0</v>
      </c>
    </row>
    <row r="115" spans="1:19" ht="14.25">
      <c r="A115" s="17">
        <f t="shared" si="14"/>
        <v>99</v>
      </c>
      <c r="B115" s="14" t="s">
        <v>92</v>
      </c>
      <c r="C115" s="15">
        <f t="shared" si="17"/>
        <v>1754331.95</v>
      </c>
      <c r="D115" s="15">
        <f t="shared" si="18"/>
        <v>3076706.43</v>
      </c>
      <c r="E115" s="15"/>
      <c r="F115" s="15"/>
      <c r="G115" s="15">
        <f t="shared" si="12"/>
        <v>2415519</v>
      </c>
      <c r="H115" s="15"/>
      <c r="I115" s="15">
        <f t="shared" si="16"/>
        <v>0</v>
      </c>
      <c r="J115" s="15">
        <f t="shared" si="16"/>
        <v>0</v>
      </c>
      <c r="K115" s="15">
        <f t="shared" si="16"/>
        <v>2415519.19</v>
      </c>
      <c r="L115" s="15"/>
      <c r="M115" s="82">
        <v>0</v>
      </c>
      <c r="N115" s="82">
        <v>0</v>
      </c>
      <c r="O115" s="82">
        <v>1754331.95</v>
      </c>
      <c r="P115" s="15"/>
      <c r="Q115" s="82">
        <v>0</v>
      </c>
      <c r="R115" s="82">
        <v>0</v>
      </c>
      <c r="S115" s="82">
        <v>3076706.43</v>
      </c>
    </row>
    <row r="116" spans="1:19" ht="14.25">
      <c r="A116" s="17">
        <f t="shared" si="14"/>
        <v>100</v>
      </c>
      <c r="B116" s="14" t="s">
        <v>93</v>
      </c>
      <c r="C116" s="15">
        <f aca="true" t="shared" si="19" ref="C116:C121">SUM(M116:O116)</f>
        <v>0</v>
      </c>
      <c r="D116" s="15">
        <f t="shared" si="18"/>
        <v>0</v>
      </c>
      <c r="E116" s="15"/>
      <c r="F116" s="15"/>
      <c r="G116" s="15">
        <f t="shared" si="12"/>
        <v>0</v>
      </c>
      <c r="H116" s="15"/>
      <c r="I116" s="15">
        <f t="shared" si="16"/>
        <v>0</v>
      </c>
      <c r="J116" s="15">
        <f t="shared" si="16"/>
        <v>0</v>
      </c>
      <c r="K116" s="15">
        <f t="shared" si="16"/>
        <v>0</v>
      </c>
      <c r="L116" s="15"/>
      <c r="M116" s="82">
        <v>0</v>
      </c>
      <c r="N116" s="82">
        <v>0</v>
      </c>
      <c r="O116" s="82">
        <v>0</v>
      </c>
      <c r="P116" s="15"/>
      <c r="Q116" s="82">
        <v>0</v>
      </c>
      <c r="R116" s="82">
        <v>0</v>
      </c>
      <c r="S116" s="82">
        <v>0</v>
      </c>
    </row>
    <row r="117" spans="1:19" ht="14.25">
      <c r="A117" s="17">
        <f t="shared" si="14"/>
        <v>101</v>
      </c>
      <c r="B117" s="14" t="s">
        <v>94</v>
      </c>
      <c r="C117" s="15">
        <f t="shared" si="19"/>
        <v>1803252.43</v>
      </c>
      <c r="D117" s="15">
        <f t="shared" si="18"/>
        <v>943748.5</v>
      </c>
      <c r="E117" s="15"/>
      <c r="F117" s="15"/>
      <c r="G117" s="15">
        <f t="shared" si="12"/>
        <v>1373500</v>
      </c>
      <c r="H117" s="15"/>
      <c r="I117" s="15">
        <f t="shared" si="16"/>
        <v>1373500.4649999999</v>
      </c>
      <c r="J117" s="15">
        <f t="shared" si="16"/>
        <v>0</v>
      </c>
      <c r="K117" s="15">
        <f t="shared" si="16"/>
        <v>0</v>
      </c>
      <c r="L117" s="15"/>
      <c r="M117" s="82">
        <v>1803252.43</v>
      </c>
      <c r="N117" s="82">
        <v>0</v>
      </c>
      <c r="O117" s="82">
        <v>0</v>
      </c>
      <c r="P117" s="15"/>
      <c r="Q117" s="82">
        <v>943748.5</v>
      </c>
      <c r="R117" s="82">
        <v>0</v>
      </c>
      <c r="S117" s="82">
        <v>0</v>
      </c>
    </row>
    <row r="118" spans="1:19" ht="14.25">
      <c r="A118" s="17">
        <f t="shared" si="14"/>
        <v>102</v>
      </c>
      <c r="B118" s="14" t="s">
        <v>95</v>
      </c>
      <c r="C118" s="15">
        <f t="shared" si="19"/>
        <v>2095769.73</v>
      </c>
      <c r="D118" s="15">
        <f t="shared" si="18"/>
        <v>513340.06</v>
      </c>
      <c r="E118" s="15"/>
      <c r="F118" s="15"/>
      <c r="G118" s="15">
        <f t="shared" si="12"/>
        <v>1304555</v>
      </c>
      <c r="H118" s="15"/>
      <c r="I118" s="15">
        <f t="shared" si="16"/>
        <v>1304554.895</v>
      </c>
      <c r="J118" s="15">
        <f t="shared" si="16"/>
        <v>0</v>
      </c>
      <c r="K118" s="15">
        <f t="shared" si="16"/>
        <v>0</v>
      </c>
      <c r="L118" s="15"/>
      <c r="M118" s="82">
        <v>2095769.73</v>
      </c>
      <c r="N118" s="82">
        <v>0</v>
      </c>
      <c r="O118" s="82">
        <v>0</v>
      </c>
      <c r="P118" s="15"/>
      <c r="Q118" s="82">
        <v>513340.06</v>
      </c>
      <c r="R118" s="82">
        <v>0</v>
      </c>
      <c r="S118" s="82">
        <v>0</v>
      </c>
    </row>
    <row r="119" spans="1:19" ht="14.25">
      <c r="A119" s="17">
        <f t="shared" si="14"/>
        <v>103</v>
      </c>
      <c r="B119" s="14" t="s">
        <v>96</v>
      </c>
      <c r="C119" s="15">
        <f t="shared" si="19"/>
        <v>-1627173.73</v>
      </c>
      <c r="D119" s="15">
        <f t="shared" si="18"/>
        <v>-115862.73</v>
      </c>
      <c r="E119" s="15"/>
      <c r="F119" s="15"/>
      <c r="G119" s="15">
        <f t="shared" si="12"/>
        <v>-871518</v>
      </c>
      <c r="H119" s="15"/>
      <c r="I119" s="15">
        <f t="shared" si="16"/>
        <v>-871518.23</v>
      </c>
      <c r="J119" s="15">
        <f t="shared" si="16"/>
        <v>0</v>
      </c>
      <c r="K119" s="15">
        <f t="shared" si="16"/>
        <v>0</v>
      </c>
      <c r="L119" s="15"/>
      <c r="M119" s="82">
        <v>-1627173.73</v>
      </c>
      <c r="N119" s="82">
        <v>0</v>
      </c>
      <c r="O119" s="82">
        <v>0</v>
      </c>
      <c r="P119" s="15"/>
      <c r="Q119" s="82">
        <v>-115862.73</v>
      </c>
      <c r="R119" s="82">
        <v>0</v>
      </c>
      <c r="S119" s="82">
        <v>0</v>
      </c>
    </row>
    <row r="120" spans="1:19" ht="14.25">
      <c r="A120" s="17">
        <f t="shared" si="14"/>
        <v>104</v>
      </c>
      <c r="B120" s="14" t="s">
        <v>97</v>
      </c>
      <c r="C120" s="15">
        <f t="shared" si="19"/>
        <v>0</v>
      </c>
      <c r="D120" s="15">
        <f t="shared" si="18"/>
        <v>0</v>
      </c>
      <c r="E120" s="15"/>
      <c r="F120" s="15"/>
      <c r="G120" s="15">
        <f t="shared" si="12"/>
        <v>0</v>
      </c>
      <c r="H120" s="15"/>
      <c r="I120" s="15">
        <f t="shared" si="16"/>
        <v>0</v>
      </c>
      <c r="J120" s="15">
        <f t="shared" si="16"/>
        <v>0</v>
      </c>
      <c r="K120" s="15">
        <f t="shared" si="16"/>
        <v>0</v>
      </c>
      <c r="L120" s="15"/>
      <c r="M120" s="82">
        <v>0</v>
      </c>
      <c r="N120" s="82">
        <v>0</v>
      </c>
      <c r="O120" s="82">
        <v>0</v>
      </c>
      <c r="P120" s="15"/>
      <c r="Q120" s="82">
        <v>0</v>
      </c>
      <c r="R120" s="82">
        <v>0</v>
      </c>
      <c r="S120" s="82">
        <v>0</v>
      </c>
    </row>
    <row r="121" spans="1:19" ht="14.25">
      <c r="A121" s="17">
        <f t="shared" si="14"/>
        <v>105</v>
      </c>
      <c r="B121" s="14" t="s">
        <v>98</v>
      </c>
      <c r="C121" s="15">
        <f t="shared" si="19"/>
        <v>0</v>
      </c>
      <c r="D121" s="15">
        <f t="shared" si="18"/>
        <v>0</v>
      </c>
      <c r="E121" s="15"/>
      <c r="F121" s="15"/>
      <c r="G121" s="15">
        <f t="shared" si="12"/>
        <v>0</v>
      </c>
      <c r="H121" s="15"/>
      <c r="I121" s="15">
        <f t="shared" si="16"/>
        <v>0</v>
      </c>
      <c r="J121" s="15">
        <f t="shared" si="16"/>
        <v>0</v>
      </c>
      <c r="K121" s="15">
        <f t="shared" si="16"/>
        <v>0</v>
      </c>
      <c r="L121" s="15"/>
      <c r="M121" s="82">
        <v>0</v>
      </c>
      <c r="N121" s="82">
        <v>0</v>
      </c>
      <c r="O121" s="82">
        <v>0</v>
      </c>
      <c r="P121" s="15"/>
      <c r="Q121" s="82">
        <v>0</v>
      </c>
      <c r="R121" s="82">
        <v>0</v>
      </c>
      <c r="S121" s="82">
        <v>0</v>
      </c>
    </row>
    <row r="122" spans="1:19" ht="14.25">
      <c r="A122" s="17">
        <f t="shared" si="14"/>
        <v>106</v>
      </c>
      <c r="B122" s="14" t="s">
        <v>99</v>
      </c>
      <c r="C122" s="15">
        <f t="shared" si="17"/>
        <v>664564.07</v>
      </c>
      <c r="D122" s="15">
        <f t="shared" si="18"/>
        <v>-0.01</v>
      </c>
      <c r="E122" s="15"/>
      <c r="F122" s="15"/>
      <c r="G122" s="15">
        <f t="shared" si="12"/>
        <v>332282</v>
      </c>
      <c r="H122" s="15"/>
      <c r="I122" s="15">
        <f t="shared" si="16"/>
        <v>332282.02999999997</v>
      </c>
      <c r="J122" s="15">
        <f t="shared" si="16"/>
        <v>0</v>
      </c>
      <c r="K122" s="15">
        <f t="shared" si="16"/>
        <v>0</v>
      </c>
      <c r="L122" s="15"/>
      <c r="M122" s="82">
        <v>664564.07</v>
      </c>
      <c r="N122" s="82">
        <v>0</v>
      </c>
      <c r="O122" s="82">
        <v>0</v>
      </c>
      <c r="P122" s="15"/>
      <c r="Q122" s="82">
        <v>-0.01</v>
      </c>
      <c r="R122" s="82">
        <v>0</v>
      </c>
      <c r="S122" s="82">
        <v>0</v>
      </c>
    </row>
    <row r="123" spans="1:19" ht="14.25">
      <c r="A123" s="17">
        <f t="shared" si="14"/>
        <v>107</v>
      </c>
      <c r="B123" s="14" t="s">
        <v>100</v>
      </c>
      <c r="C123" s="15">
        <f t="shared" si="17"/>
        <v>0</v>
      </c>
      <c r="D123" s="15">
        <f t="shared" si="18"/>
        <v>0</v>
      </c>
      <c r="E123" s="15"/>
      <c r="F123" s="15"/>
      <c r="G123" s="15">
        <f t="shared" si="12"/>
        <v>0</v>
      </c>
      <c r="H123" s="15"/>
      <c r="I123" s="15">
        <f t="shared" si="16"/>
        <v>0</v>
      </c>
      <c r="J123" s="15">
        <f t="shared" si="16"/>
        <v>0</v>
      </c>
      <c r="K123" s="15">
        <f t="shared" si="16"/>
        <v>0</v>
      </c>
      <c r="L123" s="15"/>
      <c r="M123" s="82">
        <v>0</v>
      </c>
      <c r="N123" s="82">
        <v>0</v>
      </c>
      <c r="O123" s="82">
        <v>0</v>
      </c>
      <c r="P123" s="15"/>
      <c r="Q123" s="82">
        <v>0</v>
      </c>
      <c r="R123" s="82">
        <v>0</v>
      </c>
      <c r="S123" s="82">
        <v>0</v>
      </c>
    </row>
    <row r="124" spans="1:19" ht="14.25">
      <c r="A124" s="17">
        <f t="shared" si="14"/>
        <v>108</v>
      </c>
      <c r="B124" s="14" t="s">
        <v>101</v>
      </c>
      <c r="C124" s="15">
        <f t="shared" si="17"/>
        <v>116721.56999999999</v>
      </c>
      <c r="D124" s="15">
        <f t="shared" si="18"/>
        <v>8978.64</v>
      </c>
      <c r="E124" s="15"/>
      <c r="F124" s="15"/>
      <c r="G124" s="15">
        <f t="shared" si="12"/>
        <v>62850</v>
      </c>
      <c r="H124" s="15"/>
      <c r="I124" s="15">
        <f t="shared" si="16"/>
        <v>23882.985</v>
      </c>
      <c r="J124" s="15">
        <f t="shared" si="16"/>
        <v>0</v>
      </c>
      <c r="K124" s="15">
        <f t="shared" si="16"/>
        <v>38967.119999999995</v>
      </c>
      <c r="L124" s="15"/>
      <c r="M124" s="82">
        <v>44354.14</v>
      </c>
      <c r="N124" s="82">
        <v>0</v>
      </c>
      <c r="O124" s="82">
        <v>72367.43</v>
      </c>
      <c r="P124" s="15"/>
      <c r="Q124" s="82">
        <v>3411.83</v>
      </c>
      <c r="R124" s="82">
        <v>0</v>
      </c>
      <c r="S124" s="82">
        <v>5566.81</v>
      </c>
    </row>
    <row r="125" spans="1:19" ht="14.25">
      <c r="A125" s="17">
        <f t="shared" si="14"/>
        <v>109</v>
      </c>
      <c r="B125" s="14" t="s">
        <v>588</v>
      </c>
      <c r="C125" s="15">
        <f aca="true" t="shared" si="20" ref="C125:C132">SUM(M125:O125)</f>
        <v>0</v>
      </c>
      <c r="D125" s="15">
        <f t="shared" si="18"/>
        <v>6578573.4</v>
      </c>
      <c r="E125" s="15"/>
      <c r="F125" s="15"/>
      <c r="G125" s="15">
        <f t="shared" si="12"/>
        <v>3289287</v>
      </c>
      <c r="H125" s="15"/>
      <c r="I125" s="15">
        <f aca="true" t="shared" si="21" ref="I125:K139">(+M125+Q125)/2</f>
        <v>0</v>
      </c>
      <c r="J125" s="15">
        <f t="shared" si="21"/>
        <v>0</v>
      </c>
      <c r="K125" s="15">
        <f t="shared" si="21"/>
        <v>3289286.7</v>
      </c>
      <c r="L125" s="15"/>
      <c r="M125" s="82">
        <v>0</v>
      </c>
      <c r="N125" s="82">
        <v>0</v>
      </c>
      <c r="O125" s="82">
        <v>0</v>
      </c>
      <c r="P125" s="15"/>
      <c r="Q125" s="82">
        <v>0</v>
      </c>
      <c r="R125" s="82">
        <v>0</v>
      </c>
      <c r="S125" s="82">
        <v>6578573.4</v>
      </c>
    </row>
    <row r="126" spans="1:19" ht="14.25">
      <c r="A126" s="17">
        <f t="shared" si="14"/>
        <v>110</v>
      </c>
      <c r="B126" s="14" t="s">
        <v>589</v>
      </c>
      <c r="C126" s="15">
        <f t="shared" si="20"/>
        <v>0</v>
      </c>
      <c r="D126" s="15">
        <f t="shared" si="18"/>
        <v>102411.22</v>
      </c>
      <c r="E126" s="15"/>
      <c r="F126" s="15"/>
      <c r="G126" s="15">
        <f t="shared" si="12"/>
        <v>51206</v>
      </c>
      <c r="H126" s="15"/>
      <c r="I126" s="15">
        <f t="shared" si="21"/>
        <v>0</v>
      </c>
      <c r="J126" s="15">
        <f t="shared" si="21"/>
        <v>0</v>
      </c>
      <c r="K126" s="15">
        <f t="shared" si="21"/>
        <v>51205.61</v>
      </c>
      <c r="L126" s="15"/>
      <c r="M126" s="82">
        <v>0</v>
      </c>
      <c r="N126" s="82">
        <v>0</v>
      </c>
      <c r="O126" s="82">
        <v>0</v>
      </c>
      <c r="P126" s="15"/>
      <c r="Q126" s="82">
        <v>0</v>
      </c>
      <c r="R126" s="82">
        <v>0</v>
      </c>
      <c r="S126" s="82">
        <v>102411.22</v>
      </c>
    </row>
    <row r="127" spans="1:19" ht="14.25">
      <c r="A127" s="17">
        <f t="shared" si="14"/>
        <v>111</v>
      </c>
      <c r="B127" s="21" t="s">
        <v>537</v>
      </c>
      <c r="C127" s="15">
        <f t="shared" si="20"/>
        <v>-378493.01</v>
      </c>
      <c r="D127" s="15">
        <f>SUM(Q127:S127)</f>
        <v>-442722.21</v>
      </c>
      <c r="E127" s="15"/>
      <c r="F127" s="15"/>
      <c r="G127" s="15">
        <f aca="true" t="shared" si="22" ref="G127:G132">ROUND(SUM(C127:F127)/2,0)</f>
        <v>-410608</v>
      </c>
      <c r="H127" s="15"/>
      <c r="I127" s="15">
        <f t="shared" si="21"/>
        <v>-410607.61</v>
      </c>
      <c r="J127" s="15">
        <f t="shared" si="21"/>
        <v>0</v>
      </c>
      <c r="K127" s="15">
        <f t="shared" si="21"/>
        <v>0</v>
      </c>
      <c r="L127" s="15"/>
      <c r="M127" s="82">
        <v>-378493.01</v>
      </c>
      <c r="N127" s="82">
        <v>0</v>
      </c>
      <c r="O127" s="82">
        <v>0</v>
      </c>
      <c r="P127" s="15"/>
      <c r="Q127" s="82">
        <v>-442722.21</v>
      </c>
      <c r="R127" s="82">
        <v>0</v>
      </c>
      <c r="S127" s="82">
        <v>0</v>
      </c>
    </row>
    <row r="128" spans="1:19" ht="14.25">
      <c r="A128" s="17">
        <f t="shared" si="14"/>
        <v>112</v>
      </c>
      <c r="B128" s="21" t="s">
        <v>538</v>
      </c>
      <c r="C128" s="15">
        <f t="shared" si="20"/>
        <v>253495.27</v>
      </c>
      <c r="D128" s="15">
        <f>SUM(Q128:S128)</f>
        <v>378971.58</v>
      </c>
      <c r="E128" s="15"/>
      <c r="F128" s="15"/>
      <c r="G128" s="15">
        <f t="shared" si="22"/>
        <v>316233</v>
      </c>
      <c r="H128" s="15"/>
      <c r="I128" s="15">
        <f t="shared" si="21"/>
        <v>316233.425</v>
      </c>
      <c r="J128" s="15">
        <f t="shared" si="21"/>
        <v>0</v>
      </c>
      <c r="K128" s="15">
        <f t="shared" si="21"/>
        <v>0</v>
      </c>
      <c r="L128" s="15"/>
      <c r="M128" s="82">
        <v>253495.27</v>
      </c>
      <c r="N128" s="82">
        <v>0</v>
      </c>
      <c r="O128" s="82">
        <v>0</v>
      </c>
      <c r="P128" s="15"/>
      <c r="Q128" s="82">
        <v>378971.58</v>
      </c>
      <c r="R128" s="82">
        <v>0</v>
      </c>
      <c r="S128" s="82">
        <v>0</v>
      </c>
    </row>
    <row r="129" spans="1:19" ht="14.25">
      <c r="A129" s="17">
        <f t="shared" si="14"/>
        <v>113</v>
      </c>
      <c r="B129" s="21" t="s">
        <v>539</v>
      </c>
      <c r="C129" s="15">
        <f t="shared" si="20"/>
        <v>357710.71</v>
      </c>
      <c r="D129" s="15">
        <f>SUM(Q129:S129)</f>
        <v>871073.56</v>
      </c>
      <c r="E129" s="15"/>
      <c r="F129" s="15"/>
      <c r="G129" s="15">
        <f t="shared" si="22"/>
        <v>614392</v>
      </c>
      <c r="H129" s="15"/>
      <c r="I129" s="15">
        <f t="shared" si="21"/>
        <v>614392.135</v>
      </c>
      <c r="J129" s="15">
        <f t="shared" si="21"/>
        <v>0</v>
      </c>
      <c r="K129" s="15">
        <f t="shared" si="21"/>
        <v>0</v>
      </c>
      <c r="L129" s="15"/>
      <c r="M129" s="82">
        <v>357710.71</v>
      </c>
      <c r="N129" s="82">
        <v>0</v>
      </c>
      <c r="O129" s="82">
        <v>0</v>
      </c>
      <c r="P129" s="15"/>
      <c r="Q129" s="82">
        <v>871073.56</v>
      </c>
      <c r="R129" s="82">
        <v>0</v>
      </c>
      <c r="S129" s="82">
        <v>0</v>
      </c>
    </row>
    <row r="130" spans="1:19" ht="14.25">
      <c r="A130" s="17">
        <f t="shared" si="14"/>
        <v>114</v>
      </c>
      <c r="B130" s="21" t="s">
        <v>590</v>
      </c>
      <c r="C130" s="15">
        <f t="shared" si="20"/>
        <v>0</v>
      </c>
      <c r="D130" s="15">
        <f aca="true" t="shared" si="23" ref="D130:D139">SUM(Q130:S130)</f>
        <v>-231037.8</v>
      </c>
      <c r="E130" s="15"/>
      <c r="F130" s="15"/>
      <c r="G130" s="15">
        <f t="shared" si="22"/>
        <v>-115519</v>
      </c>
      <c r="H130" s="15"/>
      <c r="I130" s="15">
        <f t="shared" si="21"/>
        <v>-115518.9</v>
      </c>
      <c r="J130" s="15">
        <f t="shared" si="21"/>
        <v>0</v>
      </c>
      <c r="K130" s="15">
        <f t="shared" si="21"/>
        <v>0</v>
      </c>
      <c r="L130" s="15"/>
      <c r="M130" s="82">
        <v>0</v>
      </c>
      <c r="N130" s="82">
        <v>0</v>
      </c>
      <c r="O130" s="82">
        <v>0</v>
      </c>
      <c r="P130" s="15"/>
      <c r="Q130" s="82">
        <v>-231037.8</v>
      </c>
      <c r="R130" s="82">
        <v>0</v>
      </c>
      <c r="S130" s="82">
        <v>0</v>
      </c>
    </row>
    <row r="131" spans="1:19" ht="14.25">
      <c r="A131" s="17">
        <f t="shared" si="14"/>
        <v>115</v>
      </c>
      <c r="B131" s="21" t="s">
        <v>591</v>
      </c>
      <c r="C131" s="15">
        <f t="shared" si="20"/>
        <v>0</v>
      </c>
      <c r="D131" s="15">
        <f t="shared" si="23"/>
        <v>712857.6</v>
      </c>
      <c r="E131" s="15"/>
      <c r="F131" s="15"/>
      <c r="G131" s="15">
        <f t="shared" si="22"/>
        <v>356429</v>
      </c>
      <c r="H131" s="15"/>
      <c r="I131" s="15">
        <f t="shared" si="21"/>
        <v>356428.8</v>
      </c>
      <c r="J131" s="15">
        <f t="shared" si="21"/>
        <v>0</v>
      </c>
      <c r="K131" s="15">
        <f t="shared" si="21"/>
        <v>0</v>
      </c>
      <c r="L131" s="15"/>
      <c r="M131" s="82">
        <v>0</v>
      </c>
      <c r="N131" s="82">
        <v>0</v>
      </c>
      <c r="O131" s="82">
        <v>0</v>
      </c>
      <c r="P131" s="15"/>
      <c r="Q131" s="82">
        <v>712857.6</v>
      </c>
      <c r="R131" s="82">
        <v>0</v>
      </c>
      <c r="S131" s="82">
        <v>0</v>
      </c>
    </row>
    <row r="132" spans="1:19" ht="14.25">
      <c r="A132" s="17">
        <f t="shared" si="14"/>
        <v>116</v>
      </c>
      <c r="B132" s="21" t="s">
        <v>592</v>
      </c>
      <c r="C132" s="15">
        <f t="shared" si="20"/>
        <v>0</v>
      </c>
      <c r="D132" s="15">
        <f t="shared" si="23"/>
        <v>3793221.36</v>
      </c>
      <c r="E132" s="15"/>
      <c r="F132" s="15"/>
      <c r="G132" s="15">
        <f t="shared" si="22"/>
        <v>1896611</v>
      </c>
      <c r="H132" s="15"/>
      <c r="I132" s="15">
        <f t="shared" si="21"/>
        <v>1896610.68</v>
      </c>
      <c r="J132" s="15">
        <f t="shared" si="21"/>
        <v>0</v>
      </c>
      <c r="K132" s="15">
        <f t="shared" si="21"/>
        <v>0</v>
      </c>
      <c r="L132" s="15"/>
      <c r="M132" s="82">
        <v>0</v>
      </c>
      <c r="N132" s="82">
        <v>0</v>
      </c>
      <c r="O132" s="82">
        <v>0</v>
      </c>
      <c r="P132" s="15"/>
      <c r="Q132" s="82">
        <v>3793221.36</v>
      </c>
      <c r="R132" s="82">
        <v>0</v>
      </c>
      <c r="S132" s="82">
        <v>0</v>
      </c>
    </row>
    <row r="133" spans="1:19" ht="14.25">
      <c r="A133" s="17">
        <f t="shared" si="14"/>
        <v>117</v>
      </c>
      <c r="B133" s="14" t="s">
        <v>102</v>
      </c>
      <c r="C133" s="15">
        <f aca="true" t="shared" si="24" ref="C133:C139">SUM(M133:O133)</f>
        <v>4852336.65</v>
      </c>
      <c r="D133" s="15">
        <f t="shared" si="23"/>
        <v>5127714.9</v>
      </c>
      <c r="E133" s="15"/>
      <c r="F133" s="15"/>
      <c r="G133" s="15">
        <f t="shared" si="12"/>
        <v>4990026</v>
      </c>
      <c r="H133" s="15"/>
      <c r="I133" s="15">
        <f t="shared" si="21"/>
        <v>3653196.05</v>
      </c>
      <c r="J133" s="15">
        <f t="shared" si="21"/>
        <v>289485</v>
      </c>
      <c r="K133" s="15">
        <f t="shared" si="21"/>
        <v>1047344.725</v>
      </c>
      <c r="L133" s="15"/>
      <c r="M133" s="82">
        <v>3758014.75</v>
      </c>
      <c r="N133" s="82">
        <v>259745.15</v>
      </c>
      <c r="O133" s="82">
        <v>834576.75</v>
      </c>
      <c r="P133" s="15"/>
      <c r="Q133" s="82">
        <v>3548377.35</v>
      </c>
      <c r="R133" s="82">
        <v>319224.85</v>
      </c>
      <c r="S133" s="82">
        <v>1260112.7</v>
      </c>
    </row>
    <row r="134" spans="1:19" ht="14.25">
      <c r="A134" s="17">
        <f t="shared" si="14"/>
        <v>118</v>
      </c>
      <c r="B134" s="14" t="s">
        <v>282</v>
      </c>
      <c r="C134" s="15">
        <f t="shared" si="24"/>
        <v>9593008.5</v>
      </c>
      <c r="D134" s="15">
        <f t="shared" si="23"/>
        <v>12300482.850000001</v>
      </c>
      <c r="E134" s="15"/>
      <c r="F134" s="15"/>
      <c r="G134" s="15">
        <f t="shared" si="12"/>
        <v>10946746</v>
      </c>
      <c r="H134" s="15"/>
      <c r="I134" s="15">
        <f t="shared" si="21"/>
        <v>4079664.545</v>
      </c>
      <c r="J134" s="15">
        <f t="shared" si="21"/>
        <v>2443435.0300000003</v>
      </c>
      <c r="K134" s="15">
        <f t="shared" si="21"/>
        <v>4423646.1</v>
      </c>
      <c r="L134" s="15"/>
      <c r="M134" s="82">
        <v>3612951.27</v>
      </c>
      <c r="N134" s="82">
        <v>2336036.83</v>
      </c>
      <c r="O134" s="82">
        <v>3644020.4</v>
      </c>
      <c r="P134" s="15"/>
      <c r="Q134" s="82">
        <v>4546377.82</v>
      </c>
      <c r="R134" s="82">
        <v>2550833.23</v>
      </c>
      <c r="S134" s="82">
        <v>5203271.8</v>
      </c>
    </row>
    <row r="135" spans="1:19" ht="14.25">
      <c r="A135" s="17">
        <f t="shared" si="14"/>
        <v>119</v>
      </c>
      <c r="B135" s="14" t="s">
        <v>103</v>
      </c>
      <c r="C135" s="15">
        <f t="shared" si="24"/>
        <v>4067537.38</v>
      </c>
      <c r="D135" s="15">
        <f t="shared" si="23"/>
        <v>3873499.49</v>
      </c>
      <c r="E135" s="15"/>
      <c r="F135" s="15"/>
      <c r="G135" s="15">
        <f t="shared" si="12"/>
        <v>3970518</v>
      </c>
      <c r="H135" s="15"/>
      <c r="I135" s="15">
        <f t="shared" si="21"/>
        <v>2078142.755</v>
      </c>
      <c r="J135" s="15">
        <f t="shared" si="21"/>
        <v>645972.345</v>
      </c>
      <c r="K135" s="15">
        <f t="shared" si="21"/>
        <v>1246403.335</v>
      </c>
      <c r="L135" s="15"/>
      <c r="M135" s="82">
        <v>2144553.38</v>
      </c>
      <c r="N135" s="82">
        <v>652196.3</v>
      </c>
      <c r="O135" s="82">
        <v>1270787.7</v>
      </c>
      <c r="P135" s="15"/>
      <c r="Q135" s="82">
        <v>2011732.13</v>
      </c>
      <c r="R135" s="82">
        <v>639748.39</v>
      </c>
      <c r="S135" s="82">
        <v>1222018.97</v>
      </c>
    </row>
    <row r="136" spans="1:19" ht="14.25">
      <c r="A136" s="17">
        <f t="shared" si="14"/>
        <v>120</v>
      </c>
      <c r="B136" s="14" t="s">
        <v>104</v>
      </c>
      <c r="C136" s="15">
        <f t="shared" si="24"/>
        <v>0</v>
      </c>
      <c r="D136" s="15">
        <f t="shared" si="23"/>
        <v>0</v>
      </c>
      <c r="E136" s="15"/>
      <c r="F136" s="15"/>
      <c r="G136" s="15">
        <f aca="true" t="shared" si="25" ref="G136:G145">ROUND(SUM(C136:F136)/2,0)</f>
        <v>0</v>
      </c>
      <c r="H136" s="15"/>
      <c r="I136" s="15">
        <f t="shared" si="21"/>
        <v>0</v>
      </c>
      <c r="J136" s="15">
        <f t="shared" si="21"/>
        <v>0</v>
      </c>
      <c r="K136" s="15">
        <f t="shared" si="21"/>
        <v>0</v>
      </c>
      <c r="L136" s="15"/>
      <c r="M136" s="82">
        <v>0</v>
      </c>
      <c r="N136" s="82">
        <v>0</v>
      </c>
      <c r="O136" s="82">
        <v>0</v>
      </c>
      <c r="P136" s="15"/>
      <c r="Q136" s="82">
        <v>0</v>
      </c>
      <c r="R136" s="82">
        <v>0</v>
      </c>
      <c r="S136" s="82">
        <v>0</v>
      </c>
    </row>
    <row r="137" spans="1:19" ht="14.25">
      <c r="A137" s="17">
        <f t="shared" si="14"/>
        <v>121</v>
      </c>
      <c r="B137" s="21" t="s">
        <v>559</v>
      </c>
      <c r="C137" s="15">
        <f>SUM(M137:O137)</f>
        <v>2266950.23</v>
      </c>
      <c r="D137" s="15">
        <f>SUM(Q137:S137)</f>
        <v>2060863.92</v>
      </c>
      <c r="E137" s="15"/>
      <c r="F137" s="15"/>
      <c r="G137" s="15">
        <f t="shared" si="25"/>
        <v>2163907</v>
      </c>
      <c r="H137" s="15"/>
      <c r="I137" s="15">
        <f t="shared" si="21"/>
        <v>895021.655</v>
      </c>
      <c r="J137" s="15">
        <f t="shared" si="21"/>
        <v>139744.47</v>
      </c>
      <c r="K137" s="15">
        <f t="shared" si="21"/>
        <v>1129140.9500000002</v>
      </c>
      <c r="L137" s="15"/>
      <c r="M137" s="82">
        <v>937641.72</v>
      </c>
      <c r="N137" s="82">
        <v>146398.97</v>
      </c>
      <c r="O137" s="82">
        <v>1182909.54</v>
      </c>
      <c r="P137" s="15"/>
      <c r="Q137" s="82">
        <v>852401.59</v>
      </c>
      <c r="R137" s="82">
        <v>133089.97</v>
      </c>
      <c r="S137" s="82">
        <v>1075372.36</v>
      </c>
    </row>
    <row r="138" spans="1:19" ht="14.25">
      <c r="A138" s="17">
        <f t="shared" si="14"/>
        <v>122</v>
      </c>
      <c r="B138" s="14" t="s">
        <v>105</v>
      </c>
      <c r="C138" s="15">
        <f t="shared" si="24"/>
        <v>6920047.140000001</v>
      </c>
      <c r="D138" s="15">
        <f t="shared" si="23"/>
        <v>6216182.48</v>
      </c>
      <c r="E138" s="15"/>
      <c r="F138" s="15"/>
      <c r="G138" s="15">
        <f t="shared" si="25"/>
        <v>6568115</v>
      </c>
      <c r="H138" s="15"/>
      <c r="I138" s="15">
        <f t="shared" si="21"/>
        <v>3234566.975</v>
      </c>
      <c r="J138" s="15">
        <f t="shared" si="21"/>
        <v>701883.975</v>
      </c>
      <c r="K138" s="15">
        <f t="shared" si="21"/>
        <v>2631663.8600000003</v>
      </c>
      <c r="L138" s="15"/>
      <c r="M138" s="82">
        <v>3280459.33</v>
      </c>
      <c r="N138" s="82">
        <v>926792.23</v>
      </c>
      <c r="O138" s="82">
        <v>2712795.58</v>
      </c>
      <c r="P138" s="15"/>
      <c r="Q138" s="82">
        <v>3188674.62</v>
      </c>
      <c r="R138" s="82">
        <v>476975.72</v>
      </c>
      <c r="S138" s="82">
        <v>2550532.14</v>
      </c>
    </row>
    <row r="139" spans="1:19" ht="14.25">
      <c r="A139" s="17">
        <f t="shared" si="14"/>
        <v>123</v>
      </c>
      <c r="B139" s="14" t="s">
        <v>106</v>
      </c>
      <c r="C139" s="15">
        <f t="shared" si="24"/>
        <v>1779558.55</v>
      </c>
      <c r="D139" s="15">
        <f t="shared" si="23"/>
        <v>1779558.55</v>
      </c>
      <c r="E139" s="15"/>
      <c r="F139" s="15"/>
      <c r="G139" s="15">
        <f t="shared" si="25"/>
        <v>1779559</v>
      </c>
      <c r="H139" s="15"/>
      <c r="I139" s="15">
        <f t="shared" si="21"/>
        <v>1779558.55</v>
      </c>
      <c r="J139" s="15">
        <f t="shared" si="21"/>
        <v>0</v>
      </c>
      <c r="K139" s="15">
        <f t="shared" si="21"/>
        <v>0</v>
      </c>
      <c r="L139" s="15"/>
      <c r="M139" s="82">
        <v>1779558.55</v>
      </c>
      <c r="N139" s="82">
        <v>0</v>
      </c>
      <c r="O139" s="82">
        <v>0</v>
      </c>
      <c r="P139" s="15"/>
      <c r="Q139" s="82">
        <v>1779558.55</v>
      </c>
      <c r="R139" s="82">
        <v>0</v>
      </c>
      <c r="S139" s="82">
        <v>0</v>
      </c>
    </row>
    <row r="140" spans="1:19" ht="14.25">
      <c r="A140" s="17">
        <f t="shared" si="14"/>
        <v>124</v>
      </c>
      <c r="B140" s="5" t="s">
        <v>32</v>
      </c>
      <c r="C140" s="81">
        <f>548958.9-3533999+236002.35+65593</f>
        <v>-2683444.75</v>
      </c>
      <c r="D140" s="81">
        <v>749475.65</v>
      </c>
      <c r="E140" s="15">
        <f aca="true" t="shared" si="26" ref="E140:F145">-C140</f>
        <v>2683444.75</v>
      </c>
      <c r="F140" s="15">
        <f t="shared" si="26"/>
        <v>-749475.65</v>
      </c>
      <c r="G140" s="15">
        <f t="shared" si="25"/>
        <v>0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4.25">
      <c r="A141" s="17">
        <f t="shared" si="14"/>
        <v>125</v>
      </c>
      <c r="B141" s="5" t="s">
        <v>107</v>
      </c>
      <c r="C141" s="81">
        <v>190676865.20999998</v>
      </c>
      <c r="D141" s="81">
        <v>137507003.62</v>
      </c>
      <c r="E141" s="15">
        <f t="shared" si="26"/>
        <v>-190676865.20999998</v>
      </c>
      <c r="F141" s="15">
        <f t="shared" si="26"/>
        <v>-137507003.62</v>
      </c>
      <c r="G141" s="15">
        <f t="shared" si="25"/>
        <v>0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4.25">
      <c r="A142" s="17">
        <f t="shared" si="14"/>
        <v>126</v>
      </c>
      <c r="B142" s="5" t="s">
        <v>108</v>
      </c>
      <c r="C142" s="81">
        <v>0</v>
      </c>
      <c r="D142" s="81">
        <v>0</v>
      </c>
      <c r="E142" s="15">
        <f t="shared" si="26"/>
        <v>0</v>
      </c>
      <c r="F142" s="15">
        <f t="shared" si="26"/>
        <v>0</v>
      </c>
      <c r="G142" s="15">
        <f t="shared" si="25"/>
        <v>0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4.25">
      <c r="A143" s="17">
        <f t="shared" si="14"/>
        <v>127</v>
      </c>
      <c r="B143" s="20" t="s">
        <v>109</v>
      </c>
      <c r="C143" s="81">
        <v>4524010.32</v>
      </c>
      <c r="D143" s="81">
        <v>3975688.68</v>
      </c>
      <c r="E143" s="15">
        <f>-C143</f>
        <v>-4524010.32</v>
      </c>
      <c r="F143" s="15">
        <f>-D143</f>
        <v>-3975688.68</v>
      </c>
      <c r="G143" s="15">
        <f t="shared" si="25"/>
        <v>0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4.25">
      <c r="A144" s="17">
        <f t="shared" si="14"/>
        <v>128</v>
      </c>
      <c r="B144" s="20" t="s">
        <v>110</v>
      </c>
      <c r="C144" s="81">
        <v>48538.74</v>
      </c>
      <c r="D144" s="81">
        <v>44251.74</v>
      </c>
      <c r="E144" s="15">
        <f>-C144</f>
        <v>-48538.74</v>
      </c>
      <c r="F144" s="15">
        <f>-D144</f>
        <v>-44251.74</v>
      </c>
      <c r="G144" s="15">
        <f t="shared" si="25"/>
        <v>0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4.25">
      <c r="A145" s="17">
        <f t="shared" si="14"/>
        <v>129</v>
      </c>
      <c r="B145" s="5" t="s">
        <v>111</v>
      </c>
      <c r="C145" s="81">
        <v>151351.37</v>
      </c>
      <c r="D145" s="81">
        <v>0</v>
      </c>
      <c r="E145" s="15">
        <f t="shared" si="26"/>
        <v>-151351.37</v>
      </c>
      <c r="F145" s="15">
        <f t="shared" si="26"/>
        <v>0</v>
      </c>
      <c r="G145" s="15">
        <f t="shared" si="25"/>
        <v>0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4.25">
      <c r="A146" s="17">
        <f aca="true" t="shared" si="27" ref="A146:A167">A145+1</f>
        <v>130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5" thickBot="1">
      <c r="A147" s="17">
        <f t="shared" si="27"/>
        <v>131</v>
      </c>
      <c r="B147" s="5"/>
      <c r="C147" s="18">
        <f>SUM(C72:C146)</f>
        <v>532387890.0199999</v>
      </c>
      <c r="D147" s="18">
        <f>SUM(D72:D146)</f>
        <v>460615757.36000013</v>
      </c>
      <c r="E147" s="18">
        <f>SUM(E72:E146)</f>
        <v>-192717320.89</v>
      </c>
      <c r="F147" s="18">
        <f>SUM(F72:F146)</f>
        <v>-142276419.69000003</v>
      </c>
      <c r="G147" s="18">
        <f>SUM(G72:G146)</f>
        <v>329004955</v>
      </c>
      <c r="H147" s="18"/>
      <c r="I147" s="18">
        <f>SUM(I72:I146)</f>
        <v>224514831.5</v>
      </c>
      <c r="J147" s="18">
        <f>SUM(J72:J146)</f>
        <v>26251946.79</v>
      </c>
      <c r="K147" s="18">
        <f>SUM(K72:K146)</f>
        <v>78238175.10999997</v>
      </c>
      <c r="L147" s="18"/>
      <c r="M147" s="18">
        <f>SUM(M72:M146)</f>
        <v>239422787.10000002</v>
      </c>
      <c r="N147" s="18">
        <f>SUM(N72:N146)</f>
        <v>25407688.43</v>
      </c>
      <c r="O147" s="18">
        <f>SUM(O72:O146)</f>
        <v>74840093.60000001</v>
      </c>
      <c r="P147" s="15"/>
      <c r="Q147" s="18">
        <f>SUM(Q72:Q146)</f>
        <v>209606875.90000007</v>
      </c>
      <c r="R147" s="18">
        <f>SUM(R72:R146)</f>
        <v>27096205.15</v>
      </c>
      <c r="S147" s="18">
        <f>SUM(S72:S146)</f>
        <v>81636256.61999999</v>
      </c>
    </row>
    <row r="148" spans="1:19" ht="15" thickTop="1">
      <c r="A148" s="17">
        <f t="shared" si="27"/>
        <v>132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5"/>
      <c r="Q148" s="19"/>
      <c r="R148" s="19"/>
      <c r="S148" s="19"/>
    </row>
    <row r="149" spans="1:19" ht="14.25">
      <c r="A149" s="17">
        <f t="shared" si="27"/>
        <v>133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4.25">
      <c r="A150" s="17">
        <f t="shared" si="27"/>
        <v>134</v>
      </c>
      <c r="B150" s="14" t="s">
        <v>112</v>
      </c>
      <c r="C150" s="15">
        <f>SUM(M150:O150)</f>
        <v>62389047.489999995</v>
      </c>
      <c r="D150" s="15">
        <f>SUM(Q150:S150)</f>
        <v>59301985</v>
      </c>
      <c r="E150" s="15"/>
      <c r="F150" s="15"/>
      <c r="G150" s="15">
        <f>ROUND(SUM(C150:F150)/2,0)</f>
        <v>60845516</v>
      </c>
      <c r="H150" s="15"/>
      <c r="I150" s="15">
        <f>(+M150+Q150)/2</f>
        <v>38771215</v>
      </c>
      <c r="J150" s="15">
        <f>(+N150+R150)/2</f>
        <v>9327000</v>
      </c>
      <c r="K150" s="15">
        <f>(+O150+S150)/2</f>
        <v>12747301.245</v>
      </c>
      <c r="L150" s="15"/>
      <c r="M150" s="81">
        <f>43365102+16151277-29930974-417463+5364862+5781942</f>
        <v>40314746</v>
      </c>
      <c r="N150" s="81">
        <f>17659915-8332915</f>
        <v>9327000</v>
      </c>
      <c r="O150" s="81">
        <f>-12070018+24817319.49</f>
        <v>12747301.489999998</v>
      </c>
      <c r="P150" s="15"/>
      <c r="Q150" s="81">
        <f>58453062+18846157-45018934+4947399</f>
        <v>37227684</v>
      </c>
      <c r="R150" s="81">
        <f>18331300-9004300</f>
        <v>9327000</v>
      </c>
      <c r="S150" s="81">
        <f>23791676-11044375</f>
        <v>12747301</v>
      </c>
    </row>
    <row r="151" spans="1:19" ht="14.25">
      <c r="A151" s="17">
        <f t="shared" si="27"/>
        <v>135</v>
      </c>
      <c r="B151" s="5" t="s">
        <v>113</v>
      </c>
      <c r="C151" s="81">
        <f>230835601+29682349</f>
        <v>260517950</v>
      </c>
      <c r="D151" s="81">
        <v>180514169.3</v>
      </c>
      <c r="E151" s="15">
        <f>-C151</f>
        <v>-260517950</v>
      </c>
      <c r="F151" s="15">
        <f>-D151</f>
        <v>-180514169.3</v>
      </c>
      <c r="G151" s="15">
        <f>ROUND(SUM(C151:F151)/2,0)</f>
        <v>0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4.25">
      <c r="A152" s="17">
        <f t="shared" si="27"/>
        <v>136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5" thickBot="1">
      <c r="A153" s="17">
        <f t="shared" si="27"/>
        <v>137</v>
      </c>
      <c r="B153" s="5" t="s">
        <v>114</v>
      </c>
      <c r="C153" s="18">
        <f>SUM(C147:C152)</f>
        <v>855294887.5099999</v>
      </c>
      <c r="D153" s="18">
        <f>SUM(D147:D152)</f>
        <v>700431911.6600001</v>
      </c>
      <c r="E153" s="18">
        <f>SUM(E147:E152)</f>
        <v>-453235270.89</v>
      </c>
      <c r="F153" s="18">
        <f>SUM(F147:F152)</f>
        <v>-322790588.99</v>
      </c>
      <c r="G153" s="18">
        <f>SUM(G147:G152)</f>
        <v>389850471</v>
      </c>
      <c r="H153" s="18"/>
      <c r="I153" s="18">
        <f>SUM(I147:I152)</f>
        <v>263286046.5</v>
      </c>
      <c r="J153" s="18">
        <f>SUM(J147:J152)</f>
        <v>35578946.79</v>
      </c>
      <c r="K153" s="18">
        <f>SUM(K147:K152)</f>
        <v>90985476.35499997</v>
      </c>
      <c r="L153" s="18"/>
      <c r="M153" s="18">
        <f>SUM(M147:M152)</f>
        <v>279737533.1</v>
      </c>
      <c r="N153" s="18">
        <f>SUM(N147:N152)</f>
        <v>34734688.43</v>
      </c>
      <c r="O153" s="18">
        <f>SUM(O147:O152)</f>
        <v>87587395.09</v>
      </c>
      <c r="P153" s="15"/>
      <c r="Q153" s="18">
        <f>SUM(Q147:Q152)</f>
        <v>246834559.90000007</v>
      </c>
      <c r="R153" s="18">
        <f>SUM(R147:R152)</f>
        <v>36423205.15</v>
      </c>
      <c r="S153" s="18">
        <f>SUM(S147:S152)</f>
        <v>94383557.61999999</v>
      </c>
    </row>
    <row r="154" spans="1:19" ht="12.75" customHeight="1" thickTop="1">
      <c r="A154" s="17">
        <f t="shared" si="27"/>
        <v>138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5"/>
      <c r="Q154" s="19"/>
      <c r="R154" s="19"/>
      <c r="S154" s="19"/>
    </row>
    <row r="155" spans="1:19" ht="14.25">
      <c r="A155" s="17">
        <f t="shared" si="27"/>
        <v>139</v>
      </c>
      <c r="C155" s="20"/>
      <c r="D155" s="20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4.25">
      <c r="A156" s="17">
        <f t="shared" si="27"/>
        <v>140</v>
      </c>
      <c r="B156" s="5" t="s">
        <v>115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4.25">
      <c r="A157" s="17">
        <f t="shared" si="27"/>
        <v>141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4.25">
      <c r="A158" s="17">
        <f t="shared" si="27"/>
        <v>142</v>
      </c>
      <c r="B158" s="5" t="s">
        <v>116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4.25">
      <c r="A159" s="17">
        <f t="shared" si="27"/>
        <v>143</v>
      </c>
      <c r="C159" s="15"/>
      <c r="D159" s="22"/>
      <c r="E159" s="22"/>
      <c r="F159" s="22"/>
      <c r="G159" s="22"/>
      <c r="H159" s="22"/>
      <c r="I159" s="22"/>
      <c r="J159" s="22"/>
      <c r="K159" s="22"/>
      <c r="L159" s="22"/>
      <c r="M159" s="15"/>
      <c r="N159" s="15"/>
      <c r="O159" s="15"/>
      <c r="P159" s="15"/>
      <c r="Q159" s="15"/>
      <c r="R159" s="15"/>
      <c r="S159" s="15"/>
    </row>
    <row r="160" spans="1:19" ht="14.25">
      <c r="A160" s="17">
        <f t="shared" si="27"/>
        <v>144</v>
      </c>
      <c r="B160" s="5" t="s">
        <v>117</v>
      </c>
      <c r="C160" s="15"/>
      <c r="D160" s="22"/>
      <c r="E160" s="22"/>
      <c r="F160" s="22"/>
      <c r="G160" s="22"/>
      <c r="H160" s="22"/>
      <c r="I160" s="22"/>
      <c r="J160" s="22"/>
      <c r="K160" s="22"/>
      <c r="L160" s="22"/>
      <c r="M160" s="15"/>
      <c r="N160" s="15"/>
      <c r="O160" s="15"/>
      <c r="P160" s="15"/>
      <c r="Q160" s="15"/>
      <c r="R160" s="15"/>
      <c r="S160" s="15"/>
    </row>
    <row r="161" spans="1:19" ht="14.25">
      <c r="A161" s="17">
        <f t="shared" si="27"/>
        <v>145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4.25">
      <c r="A162" s="17">
        <f t="shared" si="27"/>
        <v>146</v>
      </c>
      <c r="B162" s="14" t="s">
        <v>118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4.25">
      <c r="A163" s="17">
        <f t="shared" si="27"/>
        <v>147</v>
      </c>
      <c r="B163" s="14" t="s">
        <v>119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4.25">
      <c r="A164" s="17">
        <f t="shared" si="27"/>
        <v>148</v>
      </c>
      <c r="B164" s="14" t="s">
        <v>120</v>
      </c>
      <c r="C164" s="15">
        <f>SUM(M164:O164)</f>
        <v>969539</v>
      </c>
      <c r="D164" s="15">
        <f>SUM(Q164:S164)</f>
        <v>438855</v>
      </c>
      <c r="E164" s="15"/>
      <c r="F164" s="15"/>
      <c r="G164" s="15">
        <f>ROUND(SUM(C164:F164)/2,0)</f>
        <v>704197</v>
      </c>
      <c r="H164" s="15"/>
      <c r="I164" s="15">
        <f aca="true" t="shared" si="28" ref="I164:K165">(+M164+Q164)/2</f>
        <v>268769</v>
      </c>
      <c r="J164" s="15">
        <f t="shared" si="28"/>
        <v>310944.5</v>
      </c>
      <c r="K164" s="15">
        <f t="shared" si="28"/>
        <v>124483.5</v>
      </c>
      <c r="L164" s="15"/>
      <c r="M164" s="81">
        <v>392000</v>
      </c>
      <c r="N164" s="81">
        <v>391881</v>
      </c>
      <c r="O164" s="81">
        <v>185658</v>
      </c>
      <c r="P164" s="15"/>
      <c r="Q164" s="81">
        <v>145538</v>
      </c>
      <c r="R164" s="81">
        <v>230008</v>
      </c>
      <c r="S164" s="81">
        <v>63309</v>
      </c>
    </row>
    <row r="165" spans="1:19" ht="14.25">
      <c r="A165" s="17">
        <f t="shared" si="27"/>
        <v>149</v>
      </c>
      <c r="B165" s="14" t="s">
        <v>121</v>
      </c>
      <c r="C165" s="15">
        <f>SUM(M165:O165)</f>
        <v>893166</v>
      </c>
      <c r="D165" s="15">
        <f>SUM(Q165:S165)</f>
        <v>873076</v>
      </c>
      <c r="E165" s="15"/>
      <c r="F165" s="15"/>
      <c r="G165" s="15">
        <f>ROUND(SUM(C165:F165)/2,0)</f>
        <v>883121</v>
      </c>
      <c r="H165" s="15"/>
      <c r="I165" s="15">
        <f t="shared" si="28"/>
        <v>883121</v>
      </c>
      <c r="J165" s="15">
        <f t="shared" si="28"/>
        <v>0</v>
      </c>
      <c r="K165" s="15">
        <f t="shared" si="28"/>
        <v>0</v>
      </c>
      <c r="L165" s="15"/>
      <c r="M165" s="81">
        <v>893166</v>
      </c>
      <c r="N165" s="81">
        <v>0</v>
      </c>
      <c r="O165" s="81">
        <v>0</v>
      </c>
      <c r="P165" s="15"/>
      <c r="Q165" s="81">
        <v>873076</v>
      </c>
      <c r="R165" s="81">
        <v>0</v>
      </c>
      <c r="S165" s="81">
        <v>0</v>
      </c>
    </row>
    <row r="166" spans="1:19" ht="14.25">
      <c r="A166" s="17">
        <f t="shared" si="27"/>
        <v>150</v>
      </c>
      <c r="B166" s="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5" thickBot="1">
      <c r="A167" s="17">
        <f t="shared" si="27"/>
        <v>151</v>
      </c>
      <c r="B167" s="14" t="s">
        <v>122</v>
      </c>
      <c r="C167" s="18">
        <f>SUM(C164:C166)</f>
        <v>1862705</v>
      </c>
      <c r="D167" s="18">
        <f>SUM(D164:D166)</f>
        <v>1311931</v>
      </c>
      <c r="E167" s="18">
        <f>SUM(E164:E166)</f>
        <v>0</v>
      </c>
      <c r="F167" s="18">
        <f>SUM(F164:F166)</f>
        <v>0</v>
      </c>
      <c r="G167" s="18">
        <f>SUM(G164:G166)</f>
        <v>1587318</v>
      </c>
      <c r="H167" s="18"/>
      <c r="I167" s="18">
        <f>SUM(I164:I166)</f>
        <v>1151890</v>
      </c>
      <c r="J167" s="18">
        <f>SUM(J164:J166)</f>
        <v>310944.5</v>
      </c>
      <c r="K167" s="18">
        <f>SUM(K164:K166)</f>
        <v>124483.5</v>
      </c>
      <c r="L167" s="18"/>
      <c r="M167" s="18">
        <f>SUM(M164:M166)</f>
        <v>1285166</v>
      </c>
      <c r="N167" s="18">
        <f>SUM(N164:N166)</f>
        <v>391881</v>
      </c>
      <c r="O167" s="18">
        <f>SUM(O164:O166)</f>
        <v>185658</v>
      </c>
      <c r="P167" s="15"/>
      <c r="Q167" s="18">
        <f>SUM(Q164:Q166)</f>
        <v>1018614</v>
      </c>
      <c r="R167" s="18">
        <f>SUM(R164:R166)</f>
        <v>230008</v>
      </c>
      <c r="S167" s="18">
        <f>SUM(S164:S166)</f>
        <v>63309</v>
      </c>
    </row>
    <row r="168" spans="1:19" ht="15" thickTop="1">
      <c r="A168" s="17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5"/>
      <c r="Q168" s="19"/>
      <c r="R168" s="19"/>
      <c r="S168" s="19"/>
    </row>
  </sheetData>
  <sheetProtection/>
  <printOptions/>
  <pageMargins left="0.75" right="0.25" top="0.5" bottom="0.25" header="0.25" footer="0"/>
  <pageSetup horizontalDpi="600" verticalDpi="600" orientation="portrait" scale="70" r:id="rId1"/>
  <headerFooter alignWithMargins="0">
    <oddHeader>&amp;RSTATEMENT AF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B937"/>
  <sheetViews>
    <sheetView showOutlineSymbols="0" zoomScale="70" zoomScaleNormal="70" zoomScalePageLayoutView="0" workbookViewId="0" topLeftCell="A1">
      <selection activeCell="B5" sqref="B5"/>
    </sheetView>
  </sheetViews>
  <sheetFormatPr defaultColWidth="12.7109375" defaultRowHeight="15"/>
  <cols>
    <col min="1" max="1" width="5.8515625" style="23" customWidth="1"/>
    <col min="2" max="2" width="55.00390625" style="24" customWidth="1"/>
    <col min="3" max="3" width="14.140625" style="24" customWidth="1"/>
    <col min="4" max="4" width="13.57421875" style="24" customWidth="1"/>
    <col min="5" max="5" width="15.8515625" style="24" customWidth="1"/>
    <col min="6" max="6" width="16.421875" style="24" customWidth="1"/>
    <col min="7" max="7" width="18.421875" style="24" customWidth="1"/>
    <col min="8" max="8" width="3.140625" style="24" customWidth="1"/>
    <col min="9" max="9" width="18.7109375" style="24" customWidth="1"/>
    <col min="10" max="10" width="19.8515625" style="24" customWidth="1"/>
    <col min="11" max="11" width="18.7109375" style="24" customWidth="1"/>
    <col min="12" max="12" width="18.57421875" style="24" customWidth="1"/>
    <col min="13" max="13" width="4.140625" style="24" customWidth="1"/>
    <col min="14" max="14" width="17.140625" style="24" customWidth="1"/>
    <col min="15" max="15" width="17.8515625" style="90" customWidth="1"/>
    <col min="16" max="16" width="17.00390625" style="24" customWidth="1"/>
    <col min="17" max="17" width="17.421875" style="24" customWidth="1"/>
    <col min="18" max="18" width="0.9921875" style="24" customWidth="1"/>
    <col min="19" max="19" width="18.421875" style="24" customWidth="1"/>
    <col min="20" max="20" width="17.7109375" style="24" customWidth="1"/>
    <col min="21" max="21" width="17.421875" style="24" customWidth="1"/>
    <col min="22" max="22" width="17.140625" style="24" customWidth="1"/>
    <col min="23" max="23" width="14.57421875" style="24" customWidth="1"/>
    <col min="24" max="16384" width="12.7109375" style="24" customWidth="1"/>
  </cols>
  <sheetData>
    <row r="1" spans="2:22" ht="14.25">
      <c r="B1" s="3" t="s">
        <v>414</v>
      </c>
      <c r="F1" s="4"/>
      <c r="G1" s="14"/>
      <c r="H1" s="14"/>
      <c r="I1" s="14"/>
      <c r="J1" s="14"/>
      <c r="K1" s="14"/>
      <c r="L1" s="14"/>
      <c r="M1" s="14"/>
      <c r="O1" s="89"/>
      <c r="P1" s="4"/>
      <c r="Q1" s="4"/>
      <c r="U1" s="14"/>
      <c r="V1" s="14"/>
    </row>
    <row r="2" spans="2:22" ht="14.25">
      <c r="B2" s="59" t="s">
        <v>123</v>
      </c>
      <c r="G2" s="25"/>
      <c r="H2" s="25"/>
      <c r="I2" s="25"/>
      <c r="J2" s="25"/>
      <c r="K2" s="25"/>
      <c r="L2" s="25"/>
      <c r="M2" s="25"/>
      <c r="U2" s="25"/>
      <c r="V2" s="25"/>
    </row>
    <row r="3" ht="14.25">
      <c r="B3" s="59" t="s">
        <v>629</v>
      </c>
    </row>
    <row r="4" ht="14.25">
      <c r="B4" s="74"/>
    </row>
    <row r="5" ht="14.25">
      <c r="B5" s="23"/>
    </row>
    <row r="6" spans="7:13" ht="14.25">
      <c r="G6" s="26" t="s">
        <v>124</v>
      </c>
      <c r="H6" s="26"/>
      <c r="I6" s="26"/>
      <c r="J6" s="26"/>
      <c r="K6" s="26"/>
      <c r="L6" s="26"/>
      <c r="M6" s="26"/>
    </row>
    <row r="8" spans="2:22" ht="14.25">
      <c r="B8" s="27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/>
      <c r="I8" s="27" t="s">
        <v>9</v>
      </c>
      <c r="J8" s="27" t="s">
        <v>10</v>
      </c>
      <c r="K8" s="27" t="s">
        <v>11</v>
      </c>
      <c r="L8" s="27" t="s">
        <v>12</v>
      </c>
      <c r="M8" s="27"/>
      <c r="N8" s="27" t="s">
        <v>13</v>
      </c>
      <c r="O8" s="75" t="s">
        <v>14</v>
      </c>
      <c r="P8" s="27" t="s">
        <v>15</v>
      </c>
      <c r="Q8" s="27" t="s">
        <v>16</v>
      </c>
      <c r="S8" s="27" t="s">
        <v>17</v>
      </c>
      <c r="T8" s="27" t="s">
        <v>206</v>
      </c>
      <c r="U8" s="27" t="s">
        <v>207</v>
      </c>
      <c r="V8" s="27" t="s">
        <v>208</v>
      </c>
    </row>
    <row r="10" spans="3:22" ht="14.25">
      <c r="C10" s="28" t="s">
        <v>18</v>
      </c>
      <c r="D10" s="28"/>
      <c r="E10" s="29" t="s">
        <v>19</v>
      </c>
      <c r="F10" s="28"/>
      <c r="G10" s="30" t="s">
        <v>20</v>
      </c>
      <c r="H10" s="30"/>
      <c r="I10" s="31" t="s">
        <v>21</v>
      </c>
      <c r="J10" s="28"/>
      <c r="K10" s="28"/>
      <c r="L10" s="28"/>
      <c r="M10" s="30"/>
      <c r="N10" s="31" t="s">
        <v>580</v>
      </c>
      <c r="O10" s="91"/>
      <c r="P10" s="28"/>
      <c r="Q10" s="28"/>
      <c r="S10" s="31" t="s">
        <v>530</v>
      </c>
      <c r="T10" s="28"/>
      <c r="U10" s="28"/>
      <c r="V10" s="28"/>
    </row>
    <row r="11" spans="3:22" ht="14.25">
      <c r="C11" s="33"/>
      <c r="D11" s="33"/>
      <c r="G11" s="30" t="s">
        <v>22</v>
      </c>
      <c r="H11" s="30"/>
      <c r="I11" s="33"/>
      <c r="J11" s="33"/>
      <c r="K11" s="33"/>
      <c r="L11" s="33"/>
      <c r="M11" s="30"/>
      <c r="N11" s="33"/>
      <c r="O11" s="92"/>
      <c r="P11" s="33"/>
      <c r="Q11" s="33"/>
      <c r="S11" s="33"/>
      <c r="T11" s="33"/>
      <c r="U11" s="33"/>
      <c r="V11" s="33"/>
    </row>
    <row r="12" spans="3:13" ht="14.25">
      <c r="C12" s="30" t="s">
        <v>23</v>
      </c>
      <c r="D12" s="30" t="s">
        <v>23</v>
      </c>
      <c r="E12" s="30" t="s">
        <v>23</v>
      </c>
      <c r="F12" s="30" t="s">
        <v>23</v>
      </c>
      <c r="G12" s="30" t="s">
        <v>24</v>
      </c>
      <c r="H12" s="30"/>
      <c r="M12" s="30"/>
    </row>
    <row r="13" spans="2:22" ht="14.25">
      <c r="B13" s="27" t="s">
        <v>25</v>
      </c>
      <c r="C13" s="27" t="s">
        <v>581</v>
      </c>
      <c r="D13" s="27" t="s">
        <v>531</v>
      </c>
      <c r="E13" s="27" t="str">
        <f>+C13</f>
        <v>OF 12-31-14</v>
      </c>
      <c r="F13" s="27" t="str">
        <f>+D13</f>
        <v>OF 12-31-13</v>
      </c>
      <c r="G13" s="27" t="s">
        <v>26</v>
      </c>
      <c r="H13" s="27"/>
      <c r="I13" s="27" t="s">
        <v>27</v>
      </c>
      <c r="J13" s="27" t="s">
        <v>28</v>
      </c>
      <c r="K13" s="27" t="s">
        <v>29</v>
      </c>
      <c r="L13" s="27" t="s">
        <v>415</v>
      </c>
      <c r="M13" s="27"/>
      <c r="N13" s="27" t="s">
        <v>27</v>
      </c>
      <c r="O13" s="75" t="s">
        <v>28</v>
      </c>
      <c r="P13" s="27" t="s">
        <v>29</v>
      </c>
      <c r="Q13" s="27" t="s">
        <v>415</v>
      </c>
      <c r="S13" s="27" t="s">
        <v>27</v>
      </c>
      <c r="T13" s="27" t="s">
        <v>28</v>
      </c>
      <c r="U13" s="27" t="s">
        <v>29</v>
      </c>
      <c r="V13" s="27" t="s">
        <v>415</v>
      </c>
    </row>
    <row r="14" spans="1:32" ht="14.2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89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34"/>
      <c r="B15" s="20" t="s">
        <v>125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89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4"/>
      <c r="AD15" s="4"/>
      <c r="AE15" s="4"/>
      <c r="AF15" s="4"/>
    </row>
    <row r="16" spans="1:32" ht="14.25">
      <c r="A16" s="3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8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4"/>
      <c r="AD16" s="4"/>
      <c r="AE16" s="4"/>
      <c r="AF16" s="4"/>
    </row>
    <row r="17" spans="1:54" ht="14.25">
      <c r="A17" s="35">
        <v>1</v>
      </c>
      <c r="B17" s="20" t="s">
        <v>299</v>
      </c>
      <c r="C17" s="15">
        <f>SUM(N17:Q17)</f>
        <v>18026231</v>
      </c>
      <c r="D17" s="15">
        <f aca="true" t="shared" si="0" ref="D17:D80">SUM(S17:V17)</f>
        <v>17777930</v>
      </c>
      <c r="E17" s="15"/>
      <c r="F17" s="15"/>
      <c r="G17" s="15">
        <f>ROUND(SUM(C17:F17)/2,0)</f>
        <v>17902081</v>
      </c>
      <c r="H17" s="15"/>
      <c r="I17" s="15">
        <f aca="true" t="shared" si="1" ref="I17:L51">(+N17+S17)/2</f>
        <v>0</v>
      </c>
      <c r="J17" s="15">
        <f t="shared" si="1"/>
        <v>344390</v>
      </c>
      <c r="K17" s="15">
        <f t="shared" si="1"/>
        <v>17557690.5</v>
      </c>
      <c r="L17" s="15">
        <f t="shared" si="1"/>
        <v>0</v>
      </c>
      <c r="M17" s="15"/>
      <c r="N17" s="15">
        <v>0</v>
      </c>
      <c r="O17" s="89">
        <v>344390</v>
      </c>
      <c r="P17" s="15">
        <v>17681841</v>
      </c>
      <c r="Q17" s="15">
        <v>0</v>
      </c>
      <c r="R17" s="15"/>
      <c r="S17" s="15">
        <v>0</v>
      </c>
      <c r="T17" s="15">
        <v>344390</v>
      </c>
      <c r="U17" s="15">
        <f>589925+16843615</f>
        <v>17433540</v>
      </c>
      <c r="V17" s="15">
        <v>0</v>
      </c>
      <c r="W17" s="15"/>
      <c r="X17" s="15"/>
      <c r="Y17" s="15"/>
      <c r="Z17" s="15"/>
      <c r="AA17" s="15"/>
      <c r="AB17" s="15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14.25">
      <c r="A18" s="35">
        <f aca="true" t="shared" si="2" ref="A18:A81">+A17+1</f>
        <v>2</v>
      </c>
      <c r="B18" s="20" t="s">
        <v>454</v>
      </c>
      <c r="C18" s="15">
        <f aca="true" t="shared" si="3" ref="C18:C81">SUM(N18:Q18)</f>
        <v>0</v>
      </c>
      <c r="D18" s="15">
        <f t="shared" si="0"/>
        <v>0</v>
      </c>
      <c r="E18" s="15"/>
      <c r="F18" s="15"/>
      <c r="G18" s="15">
        <f>ROUND(SUM(C18:F18)/2,0)</f>
        <v>0</v>
      </c>
      <c r="H18" s="15"/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/>
      <c r="N18" s="15">
        <v>0</v>
      </c>
      <c r="O18" s="89">
        <v>0</v>
      </c>
      <c r="P18" s="15">
        <v>0</v>
      </c>
      <c r="Q18" s="15">
        <v>0</v>
      </c>
      <c r="R18" s="15"/>
      <c r="S18" s="15">
        <v>0</v>
      </c>
      <c r="T18" s="15">
        <v>0</v>
      </c>
      <c r="U18" s="15">
        <v>0</v>
      </c>
      <c r="V18" s="15">
        <v>0</v>
      </c>
      <c r="W18" s="15"/>
      <c r="X18" s="15"/>
      <c r="Y18" s="15"/>
      <c r="Z18" s="15"/>
      <c r="AA18" s="15"/>
      <c r="AB18" s="15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14.25">
      <c r="A19" s="35">
        <f t="shared" si="2"/>
        <v>3</v>
      </c>
      <c r="B19" s="20" t="s">
        <v>455</v>
      </c>
      <c r="C19" s="15">
        <f t="shared" si="3"/>
        <v>0</v>
      </c>
      <c r="D19" s="15">
        <f t="shared" si="0"/>
        <v>0</v>
      </c>
      <c r="E19" s="15"/>
      <c r="F19" s="15"/>
      <c r="G19" s="15">
        <f aca="true" t="shared" si="4" ref="G19:G71">ROUND(SUM(C19:F19)/2,0)</f>
        <v>0</v>
      </c>
      <c r="H19" s="15"/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/>
      <c r="N19" s="15">
        <v>0</v>
      </c>
      <c r="O19" s="89">
        <v>0</v>
      </c>
      <c r="P19" s="15">
        <v>0</v>
      </c>
      <c r="Q19" s="15">
        <v>0</v>
      </c>
      <c r="R19" s="15"/>
      <c r="S19" s="15">
        <v>0</v>
      </c>
      <c r="T19" s="15">
        <v>0</v>
      </c>
      <c r="U19" s="15">
        <v>0</v>
      </c>
      <c r="V19" s="15">
        <v>0</v>
      </c>
      <c r="W19" s="15"/>
      <c r="X19" s="15"/>
      <c r="Y19" s="15"/>
      <c r="Z19" s="15"/>
      <c r="AA19" s="15"/>
      <c r="AB19" s="15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4.25">
      <c r="A20" s="35">
        <f>+A19+1</f>
        <v>4</v>
      </c>
      <c r="B20" s="15" t="s">
        <v>127</v>
      </c>
      <c r="C20" s="15">
        <f t="shared" si="3"/>
        <v>21828824.93</v>
      </c>
      <c r="D20" s="15">
        <f t="shared" si="0"/>
        <v>19880131.299999997</v>
      </c>
      <c r="E20" s="15"/>
      <c r="F20" s="15"/>
      <c r="G20" s="15">
        <f t="shared" si="4"/>
        <v>20854478</v>
      </c>
      <c r="H20" s="15"/>
      <c r="I20" s="15">
        <f t="shared" si="1"/>
        <v>0</v>
      </c>
      <c r="J20" s="15">
        <f t="shared" si="1"/>
        <v>10513183.895</v>
      </c>
      <c r="K20" s="15">
        <f t="shared" si="1"/>
        <v>10341294.219999999</v>
      </c>
      <c r="L20" s="15">
        <f t="shared" si="1"/>
        <v>0</v>
      </c>
      <c r="M20" s="15"/>
      <c r="N20" s="15">
        <v>0</v>
      </c>
      <c r="O20" s="89">
        <f>15703136.02-4606346</f>
        <v>11096790.02</v>
      </c>
      <c r="P20" s="15">
        <f>17290308.91-6558274</f>
        <v>10732034.91</v>
      </c>
      <c r="Q20" s="15">
        <v>0</v>
      </c>
      <c r="R20" s="15"/>
      <c r="S20" s="15">
        <v>0</v>
      </c>
      <c r="T20" s="15">
        <f>14039120.77-4109543</f>
        <v>9929577.77</v>
      </c>
      <c r="U20" s="15">
        <f>15955953.53-6005400</f>
        <v>9950553.53</v>
      </c>
      <c r="V20" s="15">
        <v>0</v>
      </c>
      <c r="W20" s="15"/>
      <c r="X20" s="15"/>
      <c r="Y20" s="15"/>
      <c r="Z20" s="15"/>
      <c r="AA20" s="15"/>
      <c r="AB20" s="15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4.25">
      <c r="A21" s="35">
        <f t="shared" si="2"/>
        <v>5</v>
      </c>
      <c r="B21" s="15" t="s">
        <v>456</v>
      </c>
      <c r="C21" s="15">
        <f t="shared" si="3"/>
        <v>20578242.2</v>
      </c>
      <c r="D21" s="15">
        <f t="shared" si="0"/>
        <v>21444409.65</v>
      </c>
      <c r="E21" s="15"/>
      <c r="F21" s="15"/>
      <c r="G21" s="15">
        <f t="shared" si="4"/>
        <v>21011326</v>
      </c>
      <c r="H21" s="15"/>
      <c r="I21" s="15">
        <f t="shared" si="1"/>
        <v>0</v>
      </c>
      <c r="J21" s="15">
        <f t="shared" si="1"/>
        <v>3334629.87</v>
      </c>
      <c r="K21" s="15">
        <f t="shared" si="1"/>
        <v>17676696.055</v>
      </c>
      <c r="L21" s="15">
        <f t="shared" si="1"/>
        <v>0</v>
      </c>
      <c r="M21" s="15"/>
      <c r="N21" s="15">
        <v>0</v>
      </c>
      <c r="O21" s="89">
        <v>3244152.07</v>
      </c>
      <c r="P21" s="15">
        <v>17334090.13</v>
      </c>
      <c r="Q21" s="15">
        <v>0</v>
      </c>
      <c r="R21" s="15"/>
      <c r="S21" s="15">
        <v>0</v>
      </c>
      <c r="T21" s="15">
        <v>3425107.67</v>
      </c>
      <c r="U21" s="15">
        <v>18019301.98</v>
      </c>
      <c r="V21" s="15">
        <v>0</v>
      </c>
      <c r="W21" s="15"/>
      <c r="X21" s="15"/>
      <c r="Y21" s="15"/>
      <c r="Z21" s="15"/>
      <c r="AA21" s="15"/>
      <c r="AB21" s="1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4.25">
      <c r="A22" s="35">
        <f t="shared" si="2"/>
        <v>6</v>
      </c>
      <c r="B22" s="15" t="s">
        <v>304</v>
      </c>
      <c r="C22" s="15">
        <f t="shared" si="3"/>
        <v>5440960.9</v>
      </c>
      <c r="D22" s="15">
        <f t="shared" si="0"/>
        <v>4956446.24</v>
      </c>
      <c r="E22" s="15"/>
      <c r="F22" s="15"/>
      <c r="G22" s="15">
        <f t="shared" si="4"/>
        <v>5198704</v>
      </c>
      <c r="H22" s="15"/>
      <c r="I22" s="15">
        <f t="shared" si="1"/>
        <v>0</v>
      </c>
      <c r="J22" s="15">
        <f t="shared" si="1"/>
        <v>0</v>
      </c>
      <c r="K22" s="15">
        <f t="shared" si="1"/>
        <v>5198703.57</v>
      </c>
      <c r="L22" s="15">
        <f t="shared" si="1"/>
        <v>0</v>
      </c>
      <c r="M22" s="15"/>
      <c r="N22" s="15">
        <v>0</v>
      </c>
      <c r="O22" s="89">
        <v>0</v>
      </c>
      <c r="P22" s="15">
        <v>5440960.9</v>
      </c>
      <c r="Q22" s="15">
        <v>0</v>
      </c>
      <c r="R22" s="15"/>
      <c r="S22" s="15">
        <v>0</v>
      </c>
      <c r="T22" s="15">
        <v>0</v>
      </c>
      <c r="U22" s="15">
        <v>4956446.24</v>
      </c>
      <c r="V22" s="15">
        <v>0</v>
      </c>
      <c r="W22" s="15"/>
      <c r="X22" s="15"/>
      <c r="Y22" s="15"/>
      <c r="Z22" s="15"/>
      <c r="AA22" s="15"/>
      <c r="AB22" s="15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4.25">
      <c r="A23" s="35">
        <f t="shared" si="2"/>
        <v>7</v>
      </c>
      <c r="B23" s="15" t="s">
        <v>457</v>
      </c>
      <c r="C23" s="15">
        <f t="shared" si="3"/>
        <v>0</v>
      </c>
      <c r="D23" s="15">
        <f t="shared" si="0"/>
        <v>0</v>
      </c>
      <c r="E23" s="15"/>
      <c r="F23" s="15"/>
      <c r="G23" s="15">
        <f>ROUND(SUM(C23:F23)/2,0)</f>
        <v>0</v>
      </c>
      <c r="H23" s="15"/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/>
      <c r="N23" s="15">
        <v>0</v>
      </c>
      <c r="O23" s="89">
        <v>0</v>
      </c>
      <c r="P23" s="15">
        <v>0</v>
      </c>
      <c r="Q23" s="15">
        <v>0</v>
      </c>
      <c r="R23" s="15"/>
      <c r="S23" s="15">
        <v>0</v>
      </c>
      <c r="T23" s="15">
        <v>0</v>
      </c>
      <c r="U23" s="15">
        <v>0</v>
      </c>
      <c r="V23" s="15">
        <v>0</v>
      </c>
      <c r="W23" s="15"/>
      <c r="X23" s="15"/>
      <c r="Y23" s="15"/>
      <c r="Z23" s="15"/>
      <c r="AA23" s="15"/>
      <c r="AB23" s="15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4.25">
      <c r="A24" s="35">
        <f t="shared" si="2"/>
        <v>8</v>
      </c>
      <c r="B24" s="20" t="s">
        <v>135</v>
      </c>
      <c r="C24" s="15">
        <f t="shared" si="3"/>
        <v>15518180.8</v>
      </c>
      <c r="D24" s="15">
        <f t="shared" si="0"/>
        <v>2548743.01</v>
      </c>
      <c r="E24" s="15"/>
      <c r="F24" s="15"/>
      <c r="G24" s="15">
        <f t="shared" si="4"/>
        <v>9033462</v>
      </c>
      <c r="H24" s="15"/>
      <c r="I24" s="15">
        <f t="shared" si="1"/>
        <v>0</v>
      </c>
      <c r="J24" s="15">
        <f t="shared" si="1"/>
        <v>2357234.4450000003</v>
      </c>
      <c r="K24" s="15">
        <f t="shared" si="1"/>
        <v>6676227.46</v>
      </c>
      <c r="L24" s="15">
        <f t="shared" si="1"/>
        <v>0</v>
      </c>
      <c r="M24" s="15"/>
      <c r="N24" s="15">
        <v>0</v>
      </c>
      <c r="O24" s="89">
        <v>2165862.66</v>
      </c>
      <c r="P24" s="15">
        <v>13352318.14</v>
      </c>
      <c r="Q24" s="15">
        <v>0</v>
      </c>
      <c r="R24" s="15"/>
      <c r="S24" s="15">
        <v>0</v>
      </c>
      <c r="T24" s="15">
        <v>2548606.23</v>
      </c>
      <c r="U24" s="15">
        <v>136.78</v>
      </c>
      <c r="V24" s="15">
        <v>0</v>
      </c>
      <c r="W24" s="15"/>
      <c r="X24" s="15"/>
      <c r="Y24" s="15"/>
      <c r="Z24" s="15"/>
      <c r="AA24" s="15"/>
      <c r="AB24" s="15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4.25">
      <c r="A25" s="35">
        <f t="shared" si="2"/>
        <v>9</v>
      </c>
      <c r="B25" s="20" t="s">
        <v>458</v>
      </c>
      <c r="C25" s="15">
        <f t="shared" si="3"/>
        <v>0</v>
      </c>
      <c r="D25" s="15">
        <f t="shared" si="0"/>
        <v>0</v>
      </c>
      <c r="E25" s="15"/>
      <c r="F25" s="15"/>
      <c r="G25" s="15">
        <f t="shared" si="4"/>
        <v>0</v>
      </c>
      <c r="H25" s="15"/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/>
      <c r="N25" s="15">
        <v>0</v>
      </c>
      <c r="O25" s="89">
        <v>0</v>
      </c>
      <c r="P25" s="15">
        <v>0</v>
      </c>
      <c r="Q25" s="15">
        <v>0</v>
      </c>
      <c r="R25" s="15"/>
      <c r="S25" s="15">
        <v>0</v>
      </c>
      <c r="T25" s="15">
        <v>0</v>
      </c>
      <c r="U25" s="15">
        <v>0</v>
      </c>
      <c r="V25" s="15">
        <v>0</v>
      </c>
      <c r="W25" s="15"/>
      <c r="X25" s="15"/>
      <c r="Y25" s="15"/>
      <c r="Z25" s="15"/>
      <c r="AA25" s="15"/>
      <c r="AB25" s="15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4.25">
      <c r="A26" s="35">
        <f t="shared" si="2"/>
        <v>10</v>
      </c>
      <c r="B26" s="20" t="s">
        <v>630</v>
      </c>
      <c r="C26" s="15">
        <f t="shared" si="3"/>
        <v>2672760.3</v>
      </c>
      <c r="D26" s="15">
        <f t="shared" si="0"/>
        <v>0</v>
      </c>
      <c r="E26" s="15"/>
      <c r="F26" s="15"/>
      <c r="G26" s="15">
        <f>ROUND(SUM(C26:F26)/2,0)</f>
        <v>1336380</v>
      </c>
      <c r="H26" s="15"/>
      <c r="I26" s="15">
        <f t="shared" si="1"/>
        <v>0</v>
      </c>
      <c r="J26" s="15">
        <f t="shared" si="1"/>
        <v>0</v>
      </c>
      <c r="K26" s="15">
        <f t="shared" si="1"/>
        <v>1336380.15</v>
      </c>
      <c r="L26" s="15">
        <f t="shared" si="1"/>
        <v>0</v>
      </c>
      <c r="M26" s="15"/>
      <c r="N26" s="15">
        <v>0</v>
      </c>
      <c r="O26" s="89">
        <v>0</v>
      </c>
      <c r="P26" s="15">
        <v>2672760.3</v>
      </c>
      <c r="Q26" s="15">
        <v>0</v>
      </c>
      <c r="R26" s="15"/>
      <c r="S26" s="15">
        <v>0</v>
      </c>
      <c r="T26" s="15">
        <v>0</v>
      </c>
      <c r="U26" s="15">
        <v>0</v>
      </c>
      <c r="V26" s="15">
        <v>0</v>
      </c>
      <c r="W26" s="15"/>
      <c r="X26" s="15"/>
      <c r="Y26" s="15"/>
      <c r="Z26" s="15"/>
      <c r="AA26" s="15"/>
      <c r="AB26" s="1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4.25">
      <c r="A27" s="35">
        <f t="shared" si="2"/>
        <v>11</v>
      </c>
      <c r="B27" s="20" t="s">
        <v>459</v>
      </c>
      <c r="C27" s="15">
        <f t="shared" si="3"/>
        <v>0</v>
      </c>
      <c r="D27" s="15">
        <f t="shared" si="0"/>
        <v>0</v>
      </c>
      <c r="E27" s="15"/>
      <c r="F27" s="15"/>
      <c r="G27" s="15">
        <f t="shared" si="4"/>
        <v>0</v>
      </c>
      <c r="H27" s="15"/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/>
      <c r="N27" s="15">
        <v>0</v>
      </c>
      <c r="O27" s="89">
        <v>0</v>
      </c>
      <c r="P27" s="15">
        <v>0</v>
      </c>
      <c r="Q27" s="15">
        <v>0</v>
      </c>
      <c r="R27" s="15"/>
      <c r="S27" s="15">
        <v>0</v>
      </c>
      <c r="T27" s="15">
        <v>0</v>
      </c>
      <c r="U27" s="15">
        <v>0</v>
      </c>
      <c r="V27" s="15">
        <v>0</v>
      </c>
      <c r="W27" s="15"/>
      <c r="X27" s="15"/>
      <c r="Y27" s="15"/>
      <c r="Z27" s="15"/>
      <c r="AA27" s="15"/>
      <c r="AB27" s="1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4.25">
      <c r="A28" s="35">
        <f t="shared" si="2"/>
        <v>12</v>
      </c>
      <c r="B28" s="15" t="s">
        <v>460</v>
      </c>
      <c r="C28" s="15">
        <f t="shared" si="3"/>
        <v>24297.260000000002</v>
      </c>
      <c r="D28" s="15">
        <f t="shared" si="0"/>
        <v>22918.43</v>
      </c>
      <c r="E28" s="15"/>
      <c r="F28" s="15"/>
      <c r="G28" s="15">
        <f t="shared" si="4"/>
        <v>23608</v>
      </c>
      <c r="H28" s="15"/>
      <c r="I28" s="15">
        <f t="shared" si="1"/>
        <v>0</v>
      </c>
      <c r="J28" s="15">
        <f t="shared" si="1"/>
        <v>6116.905000000001</v>
      </c>
      <c r="K28" s="15">
        <f t="shared" si="1"/>
        <v>17490.94</v>
      </c>
      <c r="L28" s="15">
        <f t="shared" si="1"/>
        <v>0</v>
      </c>
      <c r="M28" s="15"/>
      <c r="N28" s="15">
        <v>0</v>
      </c>
      <c r="O28" s="89">
        <v>5620.51</v>
      </c>
      <c r="P28" s="15">
        <v>18676.75</v>
      </c>
      <c r="Q28" s="15">
        <v>0</v>
      </c>
      <c r="R28" s="15"/>
      <c r="S28" s="15">
        <v>0</v>
      </c>
      <c r="T28" s="15">
        <v>6613.3</v>
      </c>
      <c r="U28" s="15">
        <v>16305.13</v>
      </c>
      <c r="V28" s="15">
        <v>0</v>
      </c>
      <c r="W28" s="15"/>
      <c r="X28" s="15"/>
      <c r="Y28" s="15"/>
      <c r="Z28" s="15"/>
      <c r="AA28" s="15"/>
      <c r="AB28" s="15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4.25">
      <c r="A29" s="35">
        <f t="shared" si="2"/>
        <v>13</v>
      </c>
      <c r="B29" s="20" t="s">
        <v>140</v>
      </c>
      <c r="C29" s="15">
        <f t="shared" si="3"/>
        <v>13417.06</v>
      </c>
      <c r="D29" s="15">
        <f t="shared" si="0"/>
        <v>5527.71</v>
      </c>
      <c r="E29" s="15"/>
      <c r="F29" s="15"/>
      <c r="G29" s="15">
        <f t="shared" si="4"/>
        <v>9472</v>
      </c>
      <c r="H29" s="15"/>
      <c r="I29" s="15">
        <f t="shared" si="1"/>
        <v>0</v>
      </c>
      <c r="J29" s="15">
        <f t="shared" si="1"/>
        <v>0</v>
      </c>
      <c r="K29" s="15">
        <f t="shared" si="1"/>
        <v>9472.385</v>
      </c>
      <c r="L29" s="15">
        <f t="shared" si="1"/>
        <v>0</v>
      </c>
      <c r="M29" s="15"/>
      <c r="N29" s="15">
        <v>0</v>
      </c>
      <c r="O29" s="89">
        <v>0</v>
      </c>
      <c r="P29" s="15">
        <v>13417.06</v>
      </c>
      <c r="Q29" s="15">
        <v>0</v>
      </c>
      <c r="R29" s="15"/>
      <c r="S29" s="15">
        <v>0</v>
      </c>
      <c r="T29" s="15">
        <v>0</v>
      </c>
      <c r="U29" s="15">
        <v>5527.71</v>
      </c>
      <c r="V29" s="15">
        <v>0</v>
      </c>
      <c r="W29" s="15"/>
      <c r="X29" s="15"/>
      <c r="Y29" s="15"/>
      <c r="Z29" s="15"/>
      <c r="AA29" s="15"/>
      <c r="AB29" s="1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4.25">
      <c r="A30" s="35">
        <f t="shared" si="2"/>
        <v>14</v>
      </c>
      <c r="B30" s="20" t="s">
        <v>461</v>
      </c>
      <c r="C30" s="15">
        <f t="shared" si="3"/>
        <v>52467.1</v>
      </c>
      <c r="D30" s="15">
        <f t="shared" si="0"/>
        <v>1936.9</v>
      </c>
      <c r="E30" s="15"/>
      <c r="F30" s="15"/>
      <c r="G30" s="15">
        <f t="shared" si="4"/>
        <v>27202</v>
      </c>
      <c r="H30" s="15"/>
      <c r="I30" s="15">
        <f t="shared" si="1"/>
        <v>0</v>
      </c>
      <c r="J30" s="15">
        <f t="shared" si="1"/>
        <v>0</v>
      </c>
      <c r="K30" s="15">
        <f t="shared" si="1"/>
        <v>27202</v>
      </c>
      <c r="L30" s="15">
        <f t="shared" si="1"/>
        <v>0</v>
      </c>
      <c r="M30" s="15"/>
      <c r="N30" s="15">
        <v>0</v>
      </c>
      <c r="O30" s="89">
        <v>0</v>
      </c>
      <c r="P30" s="15">
        <v>52467.1</v>
      </c>
      <c r="Q30" s="15">
        <v>0</v>
      </c>
      <c r="R30" s="15"/>
      <c r="S30" s="15">
        <v>0</v>
      </c>
      <c r="T30" s="15">
        <v>0</v>
      </c>
      <c r="U30" s="15">
        <v>1936.9</v>
      </c>
      <c r="V30" s="15">
        <v>0</v>
      </c>
      <c r="W30" s="15"/>
      <c r="X30" s="15"/>
      <c r="Y30" s="15"/>
      <c r="Z30" s="15"/>
      <c r="AA30" s="15"/>
      <c r="AB30" s="1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4.25">
      <c r="A31" s="35">
        <f t="shared" si="2"/>
        <v>15</v>
      </c>
      <c r="B31" s="15" t="s">
        <v>462</v>
      </c>
      <c r="C31" s="15">
        <f t="shared" si="3"/>
        <v>196768.22</v>
      </c>
      <c r="D31" s="15">
        <f t="shared" si="0"/>
        <v>174296.35</v>
      </c>
      <c r="E31" s="15"/>
      <c r="F31" s="15"/>
      <c r="G31" s="15">
        <f t="shared" si="4"/>
        <v>185532</v>
      </c>
      <c r="H31" s="15"/>
      <c r="I31" s="15">
        <f t="shared" si="1"/>
        <v>0</v>
      </c>
      <c r="J31" s="15">
        <f t="shared" si="1"/>
        <v>0</v>
      </c>
      <c r="K31" s="15">
        <f t="shared" si="1"/>
        <v>185532.285</v>
      </c>
      <c r="L31" s="15">
        <f t="shared" si="1"/>
        <v>0</v>
      </c>
      <c r="M31" s="15"/>
      <c r="N31" s="15">
        <v>0</v>
      </c>
      <c r="O31" s="89">
        <v>0</v>
      </c>
      <c r="P31" s="15">
        <v>196768.22</v>
      </c>
      <c r="Q31" s="15">
        <v>0</v>
      </c>
      <c r="R31" s="15"/>
      <c r="S31" s="15">
        <v>0</v>
      </c>
      <c r="T31" s="15">
        <v>0</v>
      </c>
      <c r="U31" s="15">
        <v>174296.35</v>
      </c>
      <c r="V31" s="15">
        <v>0</v>
      </c>
      <c r="W31" s="15"/>
      <c r="X31" s="15"/>
      <c r="Y31" s="15"/>
      <c r="Z31" s="15"/>
      <c r="AA31" s="15"/>
      <c r="AB31" s="15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4.25">
      <c r="A32" s="35">
        <f t="shared" si="2"/>
        <v>16</v>
      </c>
      <c r="B32" s="15" t="s">
        <v>463</v>
      </c>
      <c r="C32" s="15">
        <f t="shared" si="3"/>
        <v>0</v>
      </c>
      <c r="D32" s="15">
        <f t="shared" si="0"/>
        <v>0</v>
      </c>
      <c r="E32" s="15"/>
      <c r="F32" s="15"/>
      <c r="G32" s="15">
        <f>ROUND(SUM(C32:F32)/2,0)</f>
        <v>0</v>
      </c>
      <c r="H32" s="15"/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/>
      <c r="N32" s="15">
        <v>0</v>
      </c>
      <c r="O32" s="89">
        <v>0</v>
      </c>
      <c r="P32" s="15">
        <v>0</v>
      </c>
      <c r="Q32" s="15">
        <v>0</v>
      </c>
      <c r="R32" s="15"/>
      <c r="S32" s="15">
        <v>0</v>
      </c>
      <c r="T32" s="15">
        <v>0</v>
      </c>
      <c r="U32" s="15">
        <v>0</v>
      </c>
      <c r="V32" s="15">
        <v>0</v>
      </c>
      <c r="W32" s="15"/>
      <c r="X32" s="15"/>
      <c r="Y32" s="15"/>
      <c r="Z32" s="15"/>
      <c r="AA32" s="15"/>
      <c r="AB32" s="1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4.25">
      <c r="A33" s="35">
        <f t="shared" si="2"/>
        <v>17</v>
      </c>
      <c r="B33" s="20" t="s">
        <v>144</v>
      </c>
      <c r="C33" s="15">
        <f t="shared" si="3"/>
        <v>892452.49</v>
      </c>
      <c r="D33" s="15">
        <f t="shared" si="0"/>
        <v>174417.28</v>
      </c>
      <c r="E33" s="15"/>
      <c r="F33" s="15"/>
      <c r="G33" s="15">
        <f t="shared" si="4"/>
        <v>533435</v>
      </c>
      <c r="H33" s="15"/>
      <c r="I33" s="15">
        <f t="shared" si="1"/>
        <v>0</v>
      </c>
      <c r="J33" s="15">
        <f t="shared" si="1"/>
        <v>3374.79</v>
      </c>
      <c r="K33" s="15">
        <f t="shared" si="1"/>
        <v>530060.095</v>
      </c>
      <c r="L33" s="15">
        <f t="shared" si="1"/>
        <v>0</v>
      </c>
      <c r="M33" s="15"/>
      <c r="N33" s="15">
        <v>0</v>
      </c>
      <c r="O33" s="89">
        <v>0</v>
      </c>
      <c r="P33" s="15">
        <v>892452.49</v>
      </c>
      <c r="Q33" s="15">
        <v>0</v>
      </c>
      <c r="R33" s="15"/>
      <c r="S33" s="15">
        <v>0</v>
      </c>
      <c r="T33" s="15">
        <v>6749.58</v>
      </c>
      <c r="U33" s="15">
        <v>167667.7</v>
      </c>
      <c r="V33" s="15">
        <v>0</v>
      </c>
      <c r="W33" s="15"/>
      <c r="X33" s="15"/>
      <c r="Y33" s="15"/>
      <c r="Z33" s="15"/>
      <c r="AA33" s="15"/>
      <c r="AB33" s="1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4.25">
      <c r="A34" s="35">
        <f t="shared" si="2"/>
        <v>18</v>
      </c>
      <c r="B34" s="15" t="s">
        <v>464</v>
      </c>
      <c r="C34" s="15">
        <f t="shared" si="3"/>
        <v>0</v>
      </c>
      <c r="D34" s="15">
        <f t="shared" si="0"/>
        <v>0</v>
      </c>
      <c r="E34" s="15"/>
      <c r="F34" s="15"/>
      <c r="G34" s="15">
        <f t="shared" si="4"/>
        <v>0</v>
      </c>
      <c r="H34" s="15"/>
      <c r="I34" s="15">
        <f t="shared" si="1"/>
        <v>0</v>
      </c>
      <c r="J34" s="15">
        <f t="shared" si="1"/>
        <v>0</v>
      </c>
      <c r="K34" s="15">
        <f t="shared" si="1"/>
        <v>0</v>
      </c>
      <c r="L34" s="15">
        <f t="shared" si="1"/>
        <v>0</v>
      </c>
      <c r="M34" s="15"/>
      <c r="N34" s="15">
        <v>0</v>
      </c>
      <c r="O34" s="89">
        <v>0</v>
      </c>
      <c r="P34" s="15">
        <v>0</v>
      </c>
      <c r="Q34" s="15">
        <v>0</v>
      </c>
      <c r="R34" s="15"/>
      <c r="S34" s="15">
        <v>0</v>
      </c>
      <c r="T34" s="15">
        <v>0</v>
      </c>
      <c r="U34" s="15">
        <v>0</v>
      </c>
      <c r="V34" s="15">
        <v>0</v>
      </c>
      <c r="W34" s="15"/>
      <c r="X34" s="15"/>
      <c r="Y34" s="15"/>
      <c r="Z34" s="15"/>
      <c r="AA34" s="15"/>
      <c r="AB34" s="1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4.25">
      <c r="A35" s="35">
        <f t="shared" si="2"/>
        <v>19</v>
      </c>
      <c r="B35" s="15" t="s">
        <v>465</v>
      </c>
      <c r="C35" s="15">
        <f t="shared" si="3"/>
        <v>0</v>
      </c>
      <c r="D35" s="15">
        <f t="shared" si="0"/>
        <v>0</v>
      </c>
      <c r="E35" s="15"/>
      <c r="F35" s="15"/>
      <c r="G35" s="15">
        <f>ROUND(SUM(C35:F35)/2,0)</f>
        <v>0</v>
      </c>
      <c r="H35" s="15"/>
      <c r="I35" s="15">
        <f t="shared" si="1"/>
        <v>0</v>
      </c>
      <c r="J35" s="15">
        <f t="shared" si="1"/>
        <v>0</v>
      </c>
      <c r="K35" s="15">
        <f t="shared" si="1"/>
        <v>0</v>
      </c>
      <c r="L35" s="15">
        <f t="shared" si="1"/>
        <v>0</v>
      </c>
      <c r="M35" s="15"/>
      <c r="N35" s="15">
        <v>0</v>
      </c>
      <c r="O35" s="89">
        <v>0</v>
      </c>
      <c r="P35" s="15">
        <v>0</v>
      </c>
      <c r="Q35" s="15">
        <v>0</v>
      </c>
      <c r="R35" s="15"/>
      <c r="S35" s="15">
        <v>0</v>
      </c>
      <c r="T35" s="15">
        <v>0</v>
      </c>
      <c r="U35" s="15">
        <v>0</v>
      </c>
      <c r="V35" s="15">
        <v>0</v>
      </c>
      <c r="W35" s="15"/>
      <c r="X35" s="15"/>
      <c r="Y35" s="15"/>
      <c r="Z35" s="15"/>
      <c r="AA35" s="15"/>
      <c r="AB35" s="1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4.25">
      <c r="A36" s="35">
        <f t="shared" si="2"/>
        <v>20</v>
      </c>
      <c r="B36" s="15" t="s">
        <v>145</v>
      </c>
      <c r="C36" s="15">
        <f t="shared" si="3"/>
        <v>59608.18</v>
      </c>
      <c r="D36" s="15">
        <f t="shared" si="0"/>
        <v>12244585.57</v>
      </c>
      <c r="E36" s="15"/>
      <c r="F36" s="15"/>
      <c r="G36" s="15">
        <f t="shared" si="4"/>
        <v>6152097</v>
      </c>
      <c r="H36" s="15"/>
      <c r="I36" s="15">
        <f t="shared" si="1"/>
        <v>0</v>
      </c>
      <c r="J36" s="15">
        <f t="shared" si="1"/>
        <v>0</v>
      </c>
      <c r="K36" s="15">
        <f t="shared" si="1"/>
        <v>6152096.875</v>
      </c>
      <c r="L36" s="15">
        <f t="shared" si="1"/>
        <v>0</v>
      </c>
      <c r="M36" s="15"/>
      <c r="N36" s="15">
        <v>0</v>
      </c>
      <c r="O36" s="89">
        <v>0</v>
      </c>
      <c r="P36" s="15">
        <v>59608.18</v>
      </c>
      <c r="Q36" s="15">
        <v>0</v>
      </c>
      <c r="R36" s="15"/>
      <c r="S36" s="15">
        <v>0</v>
      </c>
      <c r="T36" s="15">
        <v>0</v>
      </c>
      <c r="U36" s="15">
        <v>12244585.57</v>
      </c>
      <c r="V36" s="15">
        <v>0</v>
      </c>
      <c r="W36" s="15"/>
      <c r="X36" s="15"/>
      <c r="Y36" s="15"/>
      <c r="Z36" s="15"/>
      <c r="AA36" s="15"/>
      <c r="AB36" s="15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4.25">
      <c r="A37" s="35">
        <f t="shared" si="2"/>
        <v>21</v>
      </c>
      <c r="B37" s="15" t="s">
        <v>575</v>
      </c>
      <c r="C37" s="15">
        <f>SUM(N37:Q37)</f>
        <v>0</v>
      </c>
      <c r="D37" s="15">
        <f>SUM(S37:V37)</f>
        <v>2804063.36</v>
      </c>
      <c r="E37" s="15"/>
      <c r="F37" s="15"/>
      <c r="G37" s="15">
        <f>ROUND(SUM(C37:F37)/2,0)</f>
        <v>1402032</v>
      </c>
      <c r="H37" s="15"/>
      <c r="I37" s="15">
        <f t="shared" si="1"/>
        <v>0</v>
      </c>
      <c r="J37" s="15">
        <f t="shared" si="1"/>
        <v>0</v>
      </c>
      <c r="K37" s="15">
        <f t="shared" si="1"/>
        <v>1402031.68</v>
      </c>
      <c r="L37" s="15">
        <f t="shared" si="1"/>
        <v>0</v>
      </c>
      <c r="M37" s="15"/>
      <c r="N37" s="89">
        <v>0</v>
      </c>
      <c r="O37" s="89">
        <v>0</v>
      </c>
      <c r="P37" s="89">
        <v>0</v>
      </c>
      <c r="Q37" s="89">
        <v>0</v>
      </c>
      <c r="R37" s="15"/>
      <c r="S37" s="15">
        <v>0</v>
      </c>
      <c r="T37" s="89">
        <v>0</v>
      </c>
      <c r="U37" s="89">
        <v>2804063.36</v>
      </c>
      <c r="V37" s="15">
        <v>0</v>
      </c>
      <c r="W37" s="15"/>
      <c r="X37" s="15"/>
      <c r="Y37" s="15"/>
      <c r="Z37" s="15"/>
      <c r="AA37" s="15"/>
      <c r="AB37" s="15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4.25">
      <c r="A38" s="35">
        <f t="shared" si="2"/>
        <v>22</v>
      </c>
      <c r="B38" s="15" t="s">
        <v>563</v>
      </c>
      <c r="C38" s="15">
        <f>SUM(N38:Q38)</f>
        <v>0</v>
      </c>
      <c r="D38" s="15">
        <f>SUM(S38:V38)</f>
        <v>496682.03</v>
      </c>
      <c r="E38" s="15"/>
      <c r="F38" s="15"/>
      <c r="G38" s="15">
        <f>ROUND(SUM(C38:F38)/2,0)</f>
        <v>248341</v>
      </c>
      <c r="H38" s="15"/>
      <c r="I38" s="15">
        <f t="shared" si="1"/>
        <v>0</v>
      </c>
      <c r="J38" s="15">
        <f t="shared" si="1"/>
        <v>0</v>
      </c>
      <c r="K38" s="15">
        <f t="shared" si="1"/>
        <v>248341.015</v>
      </c>
      <c r="L38" s="15">
        <f t="shared" si="1"/>
        <v>0</v>
      </c>
      <c r="M38" s="15"/>
      <c r="N38" s="89">
        <v>0</v>
      </c>
      <c r="O38" s="89">
        <v>0</v>
      </c>
      <c r="P38" s="89">
        <v>0</v>
      </c>
      <c r="Q38" s="89">
        <v>0</v>
      </c>
      <c r="R38" s="15"/>
      <c r="S38" s="15">
        <v>0</v>
      </c>
      <c r="T38" s="89">
        <v>0</v>
      </c>
      <c r="U38" s="89">
        <v>496682.03</v>
      </c>
      <c r="V38" s="15">
        <v>0</v>
      </c>
      <c r="W38" s="15"/>
      <c r="X38" s="15"/>
      <c r="Y38" s="15"/>
      <c r="Z38" s="15"/>
      <c r="AA38" s="15"/>
      <c r="AB38" s="15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4.25">
      <c r="A39" s="35">
        <f>+A36+1</f>
        <v>21</v>
      </c>
      <c r="B39" s="15" t="s">
        <v>466</v>
      </c>
      <c r="C39" s="15">
        <f t="shared" si="3"/>
        <v>0</v>
      </c>
      <c r="D39" s="15">
        <f t="shared" si="0"/>
        <v>0</v>
      </c>
      <c r="E39" s="15"/>
      <c r="F39" s="15"/>
      <c r="G39" s="15">
        <f t="shared" si="4"/>
        <v>0</v>
      </c>
      <c r="H39" s="15"/>
      <c r="I39" s="15">
        <f t="shared" si="1"/>
        <v>0</v>
      </c>
      <c r="J39" s="15">
        <f t="shared" si="1"/>
        <v>0</v>
      </c>
      <c r="K39" s="15">
        <f t="shared" si="1"/>
        <v>0</v>
      </c>
      <c r="L39" s="15">
        <f t="shared" si="1"/>
        <v>0</v>
      </c>
      <c r="M39" s="15"/>
      <c r="N39" s="15">
        <v>0</v>
      </c>
      <c r="O39" s="89">
        <v>0</v>
      </c>
      <c r="P39" s="15">
        <v>0</v>
      </c>
      <c r="Q39" s="15">
        <v>0</v>
      </c>
      <c r="R39" s="15"/>
      <c r="S39" s="15">
        <v>0</v>
      </c>
      <c r="T39" s="15">
        <v>0</v>
      </c>
      <c r="U39" s="15">
        <v>0</v>
      </c>
      <c r="V39" s="15">
        <v>0</v>
      </c>
      <c r="W39" s="15"/>
      <c r="X39" s="15"/>
      <c r="Y39" s="15"/>
      <c r="Z39" s="15"/>
      <c r="AA39" s="15"/>
      <c r="AB39" s="15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4.25">
      <c r="A40" s="35">
        <f t="shared" si="2"/>
        <v>22</v>
      </c>
      <c r="B40" s="20" t="s">
        <v>467</v>
      </c>
      <c r="C40" s="15">
        <f t="shared" si="3"/>
        <v>0</v>
      </c>
      <c r="D40" s="15">
        <f t="shared" si="0"/>
        <v>0</v>
      </c>
      <c r="E40" s="15"/>
      <c r="F40" s="15"/>
      <c r="G40" s="15">
        <f>ROUND(SUM(C40:F40)/2,0)</f>
        <v>0</v>
      </c>
      <c r="H40" s="15"/>
      <c r="I40" s="15">
        <f t="shared" si="1"/>
        <v>0</v>
      </c>
      <c r="J40" s="15">
        <f t="shared" si="1"/>
        <v>0</v>
      </c>
      <c r="K40" s="15">
        <f t="shared" si="1"/>
        <v>0</v>
      </c>
      <c r="L40" s="15">
        <f t="shared" si="1"/>
        <v>0</v>
      </c>
      <c r="M40" s="15"/>
      <c r="N40" s="15">
        <v>0</v>
      </c>
      <c r="O40" s="89">
        <v>0</v>
      </c>
      <c r="P40" s="15">
        <v>0</v>
      </c>
      <c r="Q40" s="15">
        <v>0</v>
      </c>
      <c r="R40" s="15"/>
      <c r="S40" s="15">
        <v>0</v>
      </c>
      <c r="T40" s="15">
        <v>0</v>
      </c>
      <c r="U40" s="15">
        <v>0</v>
      </c>
      <c r="V40" s="15">
        <v>0</v>
      </c>
      <c r="W40" s="15"/>
      <c r="X40" s="15"/>
      <c r="Y40" s="15"/>
      <c r="Z40" s="15"/>
      <c r="AA40" s="15"/>
      <c r="AB40" s="15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4.25">
      <c r="A41" s="35">
        <f t="shared" si="2"/>
        <v>23</v>
      </c>
      <c r="B41" s="20" t="s">
        <v>468</v>
      </c>
      <c r="C41" s="15">
        <f t="shared" si="3"/>
        <v>2752815.78</v>
      </c>
      <c r="D41" s="15">
        <f t="shared" si="0"/>
        <v>2752815.81</v>
      </c>
      <c r="E41" s="15"/>
      <c r="F41" s="15"/>
      <c r="G41" s="15">
        <f t="shared" si="4"/>
        <v>2752816</v>
      </c>
      <c r="H41" s="15"/>
      <c r="I41" s="15">
        <f t="shared" si="1"/>
        <v>0</v>
      </c>
      <c r="J41" s="15">
        <f t="shared" si="1"/>
        <v>0</v>
      </c>
      <c r="K41" s="15">
        <f t="shared" si="1"/>
        <v>2752815.795</v>
      </c>
      <c r="L41" s="15">
        <f t="shared" si="1"/>
        <v>0</v>
      </c>
      <c r="M41" s="15"/>
      <c r="N41" s="15">
        <v>0</v>
      </c>
      <c r="O41" s="89">
        <v>0</v>
      </c>
      <c r="P41" s="15">
        <v>2752815.78</v>
      </c>
      <c r="Q41" s="15">
        <v>0</v>
      </c>
      <c r="R41" s="15"/>
      <c r="S41" s="15">
        <v>0</v>
      </c>
      <c r="T41" s="15">
        <v>0</v>
      </c>
      <c r="U41" s="15">
        <v>2752815.81</v>
      </c>
      <c r="V41" s="15">
        <v>0</v>
      </c>
      <c r="W41" s="15"/>
      <c r="X41" s="15"/>
      <c r="Y41" s="15"/>
      <c r="Z41" s="15"/>
      <c r="AA41" s="15"/>
      <c r="AB41" s="1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4.25">
      <c r="A42" s="35">
        <f t="shared" si="2"/>
        <v>24</v>
      </c>
      <c r="B42" s="20" t="s">
        <v>469</v>
      </c>
      <c r="C42" s="15">
        <f t="shared" si="3"/>
        <v>0</v>
      </c>
      <c r="D42" s="15">
        <f t="shared" si="0"/>
        <v>0</v>
      </c>
      <c r="E42" s="15"/>
      <c r="F42" s="15"/>
      <c r="G42" s="15">
        <f t="shared" si="4"/>
        <v>0</v>
      </c>
      <c r="H42" s="15"/>
      <c r="I42" s="15">
        <f t="shared" si="1"/>
        <v>0</v>
      </c>
      <c r="J42" s="15">
        <f t="shared" si="1"/>
        <v>0</v>
      </c>
      <c r="K42" s="15">
        <f t="shared" si="1"/>
        <v>0</v>
      </c>
      <c r="L42" s="15">
        <f t="shared" si="1"/>
        <v>0</v>
      </c>
      <c r="M42" s="15"/>
      <c r="N42" s="15">
        <v>0</v>
      </c>
      <c r="O42" s="89">
        <v>0</v>
      </c>
      <c r="P42" s="15">
        <v>0</v>
      </c>
      <c r="Q42" s="15">
        <v>0</v>
      </c>
      <c r="R42" s="15"/>
      <c r="S42" s="15">
        <v>0</v>
      </c>
      <c r="T42" s="15">
        <v>0</v>
      </c>
      <c r="U42" s="15">
        <v>0</v>
      </c>
      <c r="V42" s="15">
        <v>0</v>
      </c>
      <c r="W42" s="15"/>
      <c r="X42" s="15"/>
      <c r="Y42" s="15"/>
      <c r="Z42" s="15"/>
      <c r="AA42" s="15"/>
      <c r="AB42" s="15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4.25">
      <c r="A43" s="35">
        <f t="shared" si="2"/>
        <v>25</v>
      </c>
      <c r="B43" s="20" t="s">
        <v>470</v>
      </c>
      <c r="C43" s="15">
        <f t="shared" si="3"/>
        <v>0</v>
      </c>
      <c r="D43" s="15">
        <f t="shared" si="0"/>
        <v>0</v>
      </c>
      <c r="E43" s="15"/>
      <c r="F43" s="15"/>
      <c r="G43" s="15">
        <f>ROUND(SUM(C43:F43)/2,0)</f>
        <v>0</v>
      </c>
      <c r="H43" s="15"/>
      <c r="I43" s="15">
        <f t="shared" si="1"/>
        <v>0</v>
      </c>
      <c r="J43" s="15">
        <f t="shared" si="1"/>
        <v>0</v>
      </c>
      <c r="K43" s="15">
        <f t="shared" si="1"/>
        <v>0</v>
      </c>
      <c r="L43" s="15">
        <f t="shared" si="1"/>
        <v>0</v>
      </c>
      <c r="M43" s="15"/>
      <c r="N43" s="15">
        <v>0</v>
      </c>
      <c r="O43" s="89">
        <v>0</v>
      </c>
      <c r="P43" s="15">
        <v>0</v>
      </c>
      <c r="Q43" s="15">
        <v>0</v>
      </c>
      <c r="R43" s="15"/>
      <c r="S43" s="15">
        <v>0</v>
      </c>
      <c r="T43" s="15">
        <v>0</v>
      </c>
      <c r="U43" s="15">
        <v>0</v>
      </c>
      <c r="V43" s="15">
        <v>0</v>
      </c>
      <c r="W43" s="15"/>
      <c r="X43" s="15"/>
      <c r="Y43" s="15"/>
      <c r="Z43" s="15"/>
      <c r="AA43" s="15"/>
      <c r="AB43" s="1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4.25">
      <c r="A44" s="35">
        <f t="shared" si="2"/>
        <v>26</v>
      </c>
      <c r="B44" s="15" t="s">
        <v>540</v>
      </c>
      <c r="C44" s="15">
        <f>SUM(N44:Q44)</f>
        <v>0</v>
      </c>
      <c r="D44" s="15">
        <f>SUM(S44:V44)</f>
        <v>677255.2300000001</v>
      </c>
      <c r="E44" s="15"/>
      <c r="F44" s="15"/>
      <c r="G44" s="15">
        <f>ROUND(SUM(C44:F44)/2,0)</f>
        <v>338628</v>
      </c>
      <c r="H44" s="15"/>
      <c r="I44" s="15">
        <f>(+N44+S44)/2</f>
        <v>0</v>
      </c>
      <c r="J44" s="15">
        <f>(+O44+T44)/2</f>
        <v>43731.275</v>
      </c>
      <c r="K44" s="15">
        <f>(+P44+U44)/2</f>
        <v>294896.34</v>
      </c>
      <c r="L44" s="15">
        <f>(+Q44+V44)/2</f>
        <v>0</v>
      </c>
      <c r="M44" s="15"/>
      <c r="N44" s="15">
        <v>0</v>
      </c>
      <c r="O44" s="57">
        <v>0</v>
      </c>
      <c r="P44" s="15">
        <v>0</v>
      </c>
      <c r="Q44" s="15">
        <v>0</v>
      </c>
      <c r="R44" s="15"/>
      <c r="S44" s="15">
        <v>0</v>
      </c>
      <c r="T44" s="15">
        <v>87462.55</v>
      </c>
      <c r="U44" s="15">
        <v>589792.68</v>
      </c>
      <c r="V44" s="15">
        <v>0</v>
      </c>
      <c r="W44" s="15"/>
      <c r="X44" s="15"/>
      <c r="Y44" s="15"/>
      <c r="Z44" s="15"/>
      <c r="AA44" s="15"/>
      <c r="AB44" s="1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4.25">
      <c r="A45" s="35">
        <f t="shared" si="2"/>
        <v>27</v>
      </c>
      <c r="B45" s="15" t="s">
        <v>148</v>
      </c>
      <c r="C45" s="15">
        <f t="shared" si="3"/>
        <v>3136186.6199999996</v>
      </c>
      <c r="D45" s="15">
        <f t="shared" si="0"/>
        <v>3934016.74</v>
      </c>
      <c r="E45" s="15"/>
      <c r="F45" s="15"/>
      <c r="G45" s="15">
        <f t="shared" si="4"/>
        <v>3535102</v>
      </c>
      <c r="H45" s="15"/>
      <c r="I45" s="15">
        <f t="shared" si="1"/>
        <v>0</v>
      </c>
      <c r="J45" s="15">
        <f t="shared" si="1"/>
        <v>313218.53500000003</v>
      </c>
      <c r="K45" s="15">
        <f t="shared" si="1"/>
        <v>3221883.145</v>
      </c>
      <c r="L45" s="15">
        <f t="shared" si="1"/>
        <v>0</v>
      </c>
      <c r="M45" s="15"/>
      <c r="N45" s="15">
        <v>0</v>
      </c>
      <c r="O45" s="57">
        <v>-84210.95</v>
      </c>
      <c r="P45" s="15">
        <v>3220397.57</v>
      </c>
      <c r="Q45" s="15">
        <v>0</v>
      </c>
      <c r="R45" s="15"/>
      <c r="S45" s="15">
        <v>0</v>
      </c>
      <c r="T45" s="15">
        <v>710648.02</v>
      </c>
      <c r="U45" s="15">
        <v>3223368.72</v>
      </c>
      <c r="V45" s="15">
        <v>0</v>
      </c>
      <c r="W45" s="15"/>
      <c r="X45" s="15"/>
      <c r="Y45" s="15"/>
      <c r="Z45" s="15"/>
      <c r="AA45" s="15"/>
      <c r="AB45" s="15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4.25">
      <c r="A46" s="35">
        <f t="shared" si="2"/>
        <v>28</v>
      </c>
      <c r="B46" s="20" t="s">
        <v>471</v>
      </c>
      <c r="C46" s="15">
        <f t="shared" si="3"/>
        <v>15380.18</v>
      </c>
      <c r="D46" s="15">
        <f t="shared" si="0"/>
        <v>0</v>
      </c>
      <c r="E46" s="15"/>
      <c r="F46" s="15"/>
      <c r="G46" s="15">
        <f>ROUND(SUM(C46:F46)/2,0)</f>
        <v>7690</v>
      </c>
      <c r="H46" s="15"/>
      <c r="I46" s="15">
        <f t="shared" si="1"/>
        <v>0</v>
      </c>
      <c r="J46" s="15">
        <f t="shared" si="1"/>
        <v>0</v>
      </c>
      <c r="K46" s="15">
        <f t="shared" si="1"/>
        <v>7690.09</v>
      </c>
      <c r="L46" s="15">
        <f t="shared" si="1"/>
        <v>0</v>
      </c>
      <c r="M46" s="15"/>
      <c r="N46" s="15">
        <v>0</v>
      </c>
      <c r="O46" s="57">
        <v>0</v>
      </c>
      <c r="P46" s="15">
        <v>15380.18</v>
      </c>
      <c r="Q46" s="15">
        <v>0</v>
      </c>
      <c r="R46" s="15"/>
      <c r="S46" s="15">
        <v>0</v>
      </c>
      <c r="T46" s="15">
        <v>0</v>
      </c>
      <c r="U46" s="15">
        <v>0</v>
      </c>
      <c r="V46" s="15">
        <v>0</v>
      </c>
      <c r="W46" s="15"/>
      <c r="X46" s="15"/>
      <c r="Y46" s="15"/>
      <c r="Z46" s="15"/>
      <c r="AA46" s="15"/>
      <c r="AB46" s="15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14.25">
      <c r="A47" s="35">
        <f t="shared" si="2"/>
        <v>29</v>
      </c>
      <c r="B47" s="15" t="s">
        <v>150</v>
      </c>
      <c r="C47" s="15">
        <f t="shared" si="3"/>
        <v>2675991.05</v>
      </c>
      <c r="D47" s="15">
        <f t="shared" si="0"/>
        <v>3190233.1300000004</v>
      </c>
      <c r="E47" s="15"/>
      <c r="F47" s="15"/>
      <c r="G47" s="15">
        <f t="shared" si="4"/>
        <v>2933112</v>
      </c>
      <c r="H47" s="15"/>
      <c r="I47" s="15">
        <f t="shared" si="1"/>
        <v>0</v>
      </c>
      <c r="J47" s="15">
        <f t="shared" si="1"/>
        <v>154559.665</v>
      </c>
      <c r="K47" s="15">
        <f t="shared" si="1"/>
        <v>2778552.425</v>
      </c>
      <c r="L47" s="15">
        <f t="shared" si="1"/>
        <v>0</v>
      </c>
      <c r="M47" s="15"/>
      <c r="N47" s="15">
        <v>0</v>
      </c>
      <c r="O47" s="57">
        <v>-135781.81</v>
      </c>
      <c r="P47" s="15">
        <v>2811772.86</v>
      </c>
      <c r="Q47" s="15">
        <v>0</v>
      </c>
      <c r="R47" s="15"/>
      <c r="S47" s="15">
        <v>0</v>
      </c>
      <c r="T47" s="15">
        <v>444901.14</v>
      </c>
      <c r="U47" s="15">
        <v>2745331.99</v>
      </c>
      <c r="V47" s="15">
        <v>0</v>
      </c>
      <c r="W47" s="15"/>
      <c r="X47" s="15"/>
      <c r="Y47" s="15"/>
      <c r="Z47" s="15"/>
      <c r="AA47" s="15"/>
      <c r="AB47" s="15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ht="14.25">
      <c r="A48" s="35">
        <f t="shared" si="2"/>
        <v>30</v>
      </c>
      <c r="B48" s="15" t="s">
        <v>576</v>
      </c>
      <c r="C48" s="15">
        <f>SUM(N48:Q48)</f>
        <v>21368.67</v>
      </c>
      <c r="D48" s="15">
        <f>SUM(S48:V48)</f>
        <v>17928.55</v>
      </c>
      <c r="E48" s="15"/>
      <c r="F48" s="15"/>
      <c r="G48" s="15">
        <f>ROUND(SUM(C48:F48)/2,0)</f>
        <v>19649</v>
      </c>
      <c r="H48" s="15"/>
      <c r="I48" s="15">
        <f>(+N48+S48)/2</f>
        <v>0</v>
      </c>
      <c r="J48" s="15">
        <f>(+O48+T48)/2</f>
        <v>0</v>
      </c>
      <c r="K48" s="15">
        <f>(+P48+U48)/2</f>
        <v>19648.61</v>
      </c>
      <c r="L48" s="15">
        <f>(+Q48+V48)/2</f>
        <v>0</v>
      </c>
      <c r="M48" s="15"/>
      <c r="N48" s="15">
        <v>0</v>
      </c>
      <c r="O48" s="57">
        <v>0</v>
      </c>
      <c r="P48" s="15">
        <v>21368.67</v>
      </c>
      <c r="Q48" s="15">
        <v>0</v>
      </c>
      <c r="R48" s="15"/>
      <c r="S48" s="15">
        <v>0</v>
      </c>
      <c r="T48" s="15">
        <v>0</v>
      </c>
      <c r="U48" s="15">
        <v>17928.55</v>
      </c>
      <c r="V48" s="15">
        <v>0</v>
      </c>
      <c r="W48" s="15"/>
      <c r="X48" s="15"/>
      <c r="Y48" s="15"/>
      <c r="Z48" s="15"/>
      <c r="AA48" s="15"/>
      <c r="AB48" s="15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14.25">
      <c r="A49" s="35">
        <f t="shared" si="2"/>
        <v>31</v>
      </c>
      <c r="B49" s="15" t="s">
        <v>151</v>
      </c>
      <c r="C49" s="15">
        <f t="shared" si="3"/>
        <v>0</v>
      </c>
      <c r="D49" s="15">
        <f t="shared" si="0"/>
        <v>0</v>
      </c>
      <c r="E49" s="15"/>
      <c r="F49" s="15"/>
      <c r="G49" s="15">
        <f t="shared" si="4"/>
        <v>0</v>
      </c>
      <c r="H49" s="15"/>
      <c r="I49" s="15">
        <f t="shared" si="1"/>
        <v>0</v>
      </c>
      <c r="J49" s="15">
        <f t="shared" si="1"/>
        <v>0</v>
      </c>
      <c r="K49" s="15">
        <f t="shared" si="1"/>
        <v>0</v>
      </c>
      <c r="L49" s="15">
        <f t="shared" si="1"/>
        <v>0</v>
      </c>
      <c r="M49" s="15"/>
      <c r="N49" s="15">
        <v>0</v>
      </c>
      <c r="O49" s="57">
        <v>0</v>
      </c>
      <c r="P49" s="15">
        <v>0</v>
      </c>
      <c r="Q49" s="15">
        <v>0</v>
      </c>
      <c r="R49" s="15"/>
      <c r="S49" s="15">
        <v>0</v>
      </c>
      <c r="T49" s="15">
        <v>0</v>
      </c>
      <c r="U49" s="15">
        <v>0</v>
      </c>
      <c r="V49" s="15">
        <v>0</v>
      </c>
      <c r="W49" s="15"/>
      <c r="X49" s="15"/>
      <c r="Y49" s="15"/>
      <c r="Z49" s="15"/>
      <c r="AA49" s="15"/>
      <c r="AB49" s="15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14.25">
      <c r="A50" s="35">
        <f t="shared" si="2"/>
        <v>32</v>
      </c>
      <c r="B50" s="15" t="s">
        <v>472</v>
      </c>
      <c r="C50" s="15">
        <f t="shared" si="3"/>
        <v>0</v>
      </c>
      <c r="D50" s="15">
        <f t="shared" si="0"/>
        <v>154209.65</v>
      </c>
      <c r="E50" s="15"/>
      <c r="F50" s="15"/>
      <c r="G50" s="15">
        <f t="shared" si="4"/>
        <v>77105</v>
      </c>
      <c r="H50" s="15"/>
      <c r="I50" s="15">
        <f t="shared" si="1"/>
        <v>0</v>
      </c>
      <c r="J50" s="15">
        <f t="shared" si="1"/>
        <v>0</v>
      </c>
      <c r="K50" s="15">
        <f t="shared" si="1"/>
        <v>77104.825</v>
      </c>
      <c r="L50" s="15">
        <f t="shared" si="1"/>
        <v>0</v>
      </c>
      <c r="M50" s="15"/>
      <c r="N50" s="15">
        <v>0</v>
      </c>
      <c r="O50" s="57">
        <v>0</v>
      </c>
      <c r="P50" s="15">
        <v>0</v>
      </c>
      <c r="Q50" s="15">
        <v>0</v>
      </c>
      <c r="R50" s="15"/>
      <c r="S50" s="15">
        <v>0</v>
      </c>
      <c r="T50" s="15">
        <v>0</v>
      </c>
      <c r="U50" s="15">
        <v>154209.65</v>
      </c>
      <c r="V50" s="15">
        <v>0</v>
      </c>
      <c r="W50" s="15"/>
      <c r="X50" s="15"/>
      <c r="Y50" s="15"/>
      <c r="Z50" s="15"/>
      <c r="AA50" s="15"/>
      <c r="AB50" s="1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14.25">
      <c r="A51" s="35">
        <f t="shared" si="2"/>
        <v>33</v>
      </c>
      <c r="B51" s="15" t="s">
        <v>473</v>
      </c>
      <c r="C51" s="15">
        <f t="shared" si="3"/>
        <v>140000</v>
      </c>
      <c r="D51" s="15">
        <f t="shared" si="0"/>
        <v>350000</v>
      </c>
      <c r="E51" s="15"/>
      <c r="F51" s="15"/>
      <c r="G51" s="15">
        <f t="shared" si="4"/>
        <v>245000</v>
      </c>
      <c r="H51" s="15"/>
      <c r="I51" s="15">
        <f t="shared" si="1"/>
        <v>0</v>
      </c>
      <c r="J51" s="15">
        <f t="shared" si="1"/>
        <v>0</v>
      </c>
      <c r="K51" s="15">
        <f t="shared" si="1"/>
        <v>245000</v>
      </c>
      <c r="L51" s="15">
        <f t="shared" si="1"/>
        <v>0</v>
      </c>
      <c r="M51" s="15"/>
      <c r="N51" s="15">
        <v>0</v>
      </c>
      <c r="O51" s="57">
        <v>0</v>
      </c>
      <c r="P51" s="15">
        <v>140000</v>
      </c>
      <c r="Q51" s="15">
        <v>0</v>
      </c>
      <c r="R51" s="15"/>
      <c r="S51" s="15">
        <v>0</v>
      </c>
      <c r="T51" s="15">
        <v>0</v>
      </c>
      <c r="U51" s="15">
        <v>350000</v>
      </c>
      <c r="V51" s="15">
        <v>0</v>
      </c>
      <c r="W51" s="15"/>
      <c r="X51" s="15"/>
      <c r="Y51" s="15"/>
      <c r="Z51" s="15"/>
      <c r="AA51" s="15"/>
      <c r="AB51" s="15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4.25">
      <c r="A52" s="35">
        <f t="shared" si="2"/>
        <v>34</v>
      </c>
      <c r="B52" s="15" t="s">
        <v>474</v>
      </c>
      <c r="C52" s="15">
        <f t="shared" si="3"/>
        <v>0</v>
      </c>
      <c r="D52" s="15">
        <f t="shared" si="0"/>
        <v>772287.59</v>
      </c>
      <c r="E52" s="15"/>
      <c r="F52" s="15"/>
      <c r="G52" s="15">
        <f t="shared" si="4"/>
        <v>386144</v>
      </c>
      <c r="H52" s="15"/>
      <c r="I52" s="15">
        <f aca="true" t="shared" si="5" ref="I52:L86">(+N52+S52)/2</f>
        <v>0</v>
      </c>
      <c r="J52" s="15">
        <f t="shared" si="5"/>
        <v>0</v>
      </c>
      <c r="K52" s="15">
        <f t="shared" si="5"/>
        <v>386143.795</v>
      </c>
      <c r="L52" s="15">
        <f t="shared" si="5"/>
        <v>0</v>
      </c>
      <c r="M52" s="15"/>
      <c r="N52" s="15">
        <v>0</v>
      </c>
      <c r="O52" s="57">
        <v>0</v>
      </c>
      <c r="P52" s="15">
        <v>0</v>
      </c>
      <c r="Q52" s="15">
        <v>0</v>
      </c>
      <c r="R52" s="15"/>
      <c r="S52" s="15">
        <v>0</v>
      </c>
      <c r="T52" s="15">
        <v>0</v>
      </c>
      <c r="U52" s="15">
        <v>772287.59</v>
      </c>
      <c r="V52" s="15">
        <v>0</v>
      </c>
      <c r="W52" s="15"/>
      <c r="X52" s="15"/>
      <c r="Y52" s="15"/>
      <c r="Z52" s="15"/>
      <c r="AA52" s="15"/>
      <c r="AB52" s="15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4.25">
      <c r="A53" s="35">
        <f t="shared" si="2"/>
        <v>35</v>
      </c>
      <c r="B53" s="15" t="s">
        <v>475</v>
      </c>
      <c r="C53" s="15">
        <f t="shared" si="3"/>
        <v>1101501.04</v>
      </c>
      <c r="D53" s="15">
        <f t="shared" si="0"/>
        <v>700000</v>
      </c>
      <c r="E53" s="15"/>
      <c r="F53" s="15"/>
      <c r="G53" s="15">
        <f t="shared" si="4"/>
        <v>900751</v>
      </c>
      <c r="H53" s="15"/>
      <c r="I53" s="15">
        <f t="shared" si="5"/>
        <v>0</v>
      </c>
      <c r="J53" s="15">
        <f t="shared" si="5"/>
        <v>0</v>
      </c>
      <c r="K53" s="15">
        <f t="shared" si="5"/>
        <v>900750.52</v>
      </c>
      <c r="L53" s="15">
        <f t="shared" si="5"/>
        <v>0</v>
      </c>
      <c r="M53" s="15"/>
      <c r="N53" s="15">
        <v>0</v>
      </c>
      <c r="O53" s="57">
        <v>0</v>
      </c>
      <c r="P53" s="15">
        <v>1101501.04</v>
      </c>
      <c r="Q53" s="15">
        <v>0</v>
      </c>
      <c r="R53" s="15"/>
      <c r="S53" s="15">
        <v>0</v>
      </c>
      <c r="T53" s="15">
        <v>0</v>
      </c>
      <c r="U53" s="15">
        <v>700000</v>
      </c>
      <c r="V53" s="15">
        <v>0</v>
      </c>
      <c r="W53" s="15"/>
      <c r="X53" s="15"/>
      <c r="Y53" s="15"/>
      <c r="Z53" s="15"/>
      <c r="AA53" s="15"/>
      <c r="AB53" s="15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4.25">
      <c r="A54" s="35">
        <f t="shared" si="2"/>
        <v>36</v>
      </c>
      <c r="B54" s="15" t="s">
        <v>322</v>
      </c>
      <c r="C54" s="15">
        <f t="shared" si="3"/>
        <v>0</v>
      </c>
      <c r="D54" s="15">
        <f t="shared" si="0"/>
        <v>0</v>
      </c>
      <c r="E54" s="15"/>
      <c r="F54" s="15"/>
      <c r="G54" s="15">
        <f>ROUND(SUM(C54:F54)/2,0)</f>
        <v>0</v>
      </c>
      <c r="H54" s="15"/>
      <c r="I54" s="15">
        <f t="shared" si="5"/>
        <v>0</v>
      </c>
      <c r="J54" s="15">
        <f t="shared" si="5"/>
        <v>0</v>
      </c>
      <c r="K54" s="15">
        <f t="shared" si="5"/>
        <v>0</v>
      </c>
      <c r="L54" s="15">
        <f t="shared" si="5"/>
        <v>0</v>
      </c>
      <c r="M54" s="15"/>
      <c r="N54" s="15">
        <v>0</v>
      </c>
      <c r="O54" s="57">
        <v>0</v>
      </c>
      <c r="P54" s="15">
        <v>0</v>
      </c>
      <c r="Q54" s="15">
        <v>0</v>
      </c>
      <c r="R54" s="15"/>
      <c r="S54" s="15">
        <v>0</v>
      </c>
      <c r="T54" s="15">
        <v>0</v>
      </c>
      <c r="U54" s="15">
        <v>0</v>
      </c>
      <c r="V54" s="15">
        <v>0</v>
      </c>
      <c r="W54" s="15"/>
      <c r="X54" s="15"/>
      <c r="Y54" s="15"/>
      <c r="Z54" s="15"/>
      <c r="AA54" s="15"/>
      <c r="AB54" s="15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4.25">
      <c r="A55" s="35">
        <f t="shared" si="2"/>
        <v>37</v>
      </c>
      <c r="B55" s="20" t="s">
        <v>390</v>
      </c>
      <c r="C55" s="15">
        <f t="shared" si="3"/>
        <v>0.01</v>
      </c>
      <c r="D55" s="15">
        <f t="shared" si="0"/>
        <v>16461.03</v>
      </c>
      <c r="E55" s="15"/>
      <c r="F55" s="15"/>
      <c r="G55" s="15">
        <f>ROUND(SUM(C55:F55)/2,0)</f>
        <v>8231</v>
      </c>
      <c r="H55" s="15"/>
      <c r="I55" s="15">
        <f t="shared" si="5"/>
        <v>0</v>
      </c>
      <c r="J55" s="15">
        <f t="shared" si="5"/>
        <v>1260</v>
      </c>
      <c r="K55" s="15">
        <f t="shared" si="5"/>
        <v>6970.52</v>
      </c>
      <c r="L55" s="15">
        <f t="shared" si="5"/>
        <v>0</v>
      </c>
      <c r="M55" s="15"/>
      <c r="N55" s="15">
        <v>0</v>
      </c>
      <c r="O55" s="57">
        <v>0</v>
      </c>
      <c r="P55" s="15">
        <v>0.01</v>
      </c>
      <c r="Q55" s="15">
        <v>0</v>
      </c>
      <c r="R55" s="15"/>
      <c r="S55" s="15">
        <v>0</v>
      </c>
      <c r="T55" s="15">
        <v>2520</v>
      </c>
      <c r="U55" s="15">
        <v>13941.03</v>
      </c>
      <c r="V55" s="15">
        <v>0</v>
      </c>
      <c r="W55" s="15"/>
      <c r="X55" s="15"/>
      <c r="Y55" s="15"/>
      <c r="Z55" s="15"/>
      <c r="AA55" s="15"/>
      <c r="AB55" s="15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4.25">
      <c r="A56" s="35">
        <f t="shared" si="2"/>
        <v>38</v>
      </c>
      <c r="B56" s="20" t="s">
        <v>476</v>
      </c>
      <c r="C56" s="15">
        <f t="shared" si="3"/>
        <v>0</v>
      </c>
      <c r="D56" s="15">
        <f t="shared" si="0"/>
        <v>0</v>
      </c>
      <c r="E56" s="15"/>
      <c r="F56" s="15"/>
      <c r="G56" s="15">
        <f t="shared" si="4"/>
        <v>0</v>
      </c>
      <c r="H56" s="15"/>
      <c r="I56" s="15">
        <f t="shared" si="5"/>
        <v>0</v>
      </c>
      <c r="J56" s="15">
        <f t="shared" si="5"/>
        <v>0</v>
      </c>
      <c r="K56" s="15">
        <f t="shared" si="5"/>
        <v>0</v>
      </c>
      <c r="L56" s="15">
        <f t="shared" si="5"/>
        <v>0</v>
      </c>
      <c r="M56" s="15"/>
      <c r="N56" s="15">
        <v>0</v>
      </c>
      <c r="O56" s="57">
        <v>0</v>
      </c>
      <c r="P56" s="15">
        <v>0</v>
      </c>
      <c r="Q56" s="15">
        <v>0</v>
      </c>
      <c r="R56" s="15"/>
      <c r="S56" s="15">
        <v>0</v>
      </c>
      <c r="T56" s="15">
        <v>0</v>
      </c>
      <c r="U56" s="15">
        <v>0</v>
      </c>
      <c r="V56" s="15">
        <v>0</v>
      </c>
      <c r="W56" s="15"/>
      <c r="X56" s="15"/>
      <c r="Y56" s="15"/>
      <c r="Z56" s="15"/>
      <c r="AA56" s="15"/>
      <c r="AB56" s="15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4.25">
      <c r="A57" s="35">
        <f t="shared" si="2"/>
        <v>39</v>
      </c>
      <c r="B57" s="15" t="s">
        <v>153</v>
      </c>
      <c r="C57" s="15">
        <f t="shared" si="3"/>
        <v>0</v>
      </c>
      <c r="D57" s="15">
        <f t="shared" si="0"/>
        <v>0</v>
      </c>
      <c r="E57" s="15"/>
      <c r="F57" s="15"/>
      <c r="G57" s="15">
        <f t="shared" si="4"/>
        <v>0</v>
      </c>
      <c r="H57" s="15"/>
      <c r="I57" s="15">
        <f t="shared" si="5"/>
        <v>0</v>
      </c>
      <c r="J57" s="15">
        <f t="shared" si="5"/>
        <v>0</v>
      </c>
      <c r="K57" s="15">
        <f t="shared" si="5"/>
        <v>0</v>
      </c>
      <c r="L57" s="15">
        <f t="shared" si="5"/>
        <v>0</v>
      </c>
      <c r="M57" s="15"/>
      <c r="N57" s="15">
        <f>-8090+8090</f>
        <v>0</v>
      </c>
      <c r="O57" s="57">
        <f>3025-3025</f>
        <v>0</v>
      </c>
      <c r="P57" s="15">
        <f>5442-5442</f>
        <v>0</v>
      </c>
      <c r="Q57" s="15">
        <v>0</v>
      </c>
      <c r="R57" s="15"/>
      <c r="S57" s="15">
        <v>0</v>
      </c>
      <c r="T57" s="57">
        <f>3025-3025</f>
        <v>0</v>
      </c>
      <c r="U57" s="15">
        <f>5442-5442</f>
        <v>0</v>
      </c>
      <c r="V57" s="15">
        <v>0</v>
      </c>
      <c r="W57" s="15"/>
      <c r="X57" s="15"/>
      <c r="Y57" s="15"/>
      <c r="Z57" s="15"/>
      <c r="AA57" s="15"/>
      <c r="AB57" s="15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4.25">
      <c r="A58" s="35">
        <f t="shared" si="2"/>
        <v>40</v>
      </c>
      <c r="B58" s="20" t="s">
        <v>477</v>
      </c>
      <c r="C58" s="15">
        <f t="shared" si="3"/>
        <v>-144151.49999999997</v>
      </c>
      <c r="D58" s="15">
        <f t="shared" si="0"/>
        <v>-194959.6999999999</v>
      </c>
      <c r="E58" s="15"/>
      <c r="F58" s="15"/>
      <c r="G58" s="15">
        <f t="shared" si="4"/>
        <v>-169556</v>
      </c>
      <c r="H58" s="15"/>
      <c r="I58" s="15">
        <f t="shared" si="5"/>
        <v>0</v>
      </c>
      <c r="J58" s="15">
        <f t="shared" si="5"/>
        <v>-45741.07499999998</v>
      </c>
      <c r="K58" s="15">
        <f t="shared" si="5"/>
        <v>-123814.52499999995</v>
      </c>
      <c r="L58" s="15">
        <f t="shared" si="5"/>
        <v>0</v>
      </c>
      <c r="M58" s="15"/>
      <c r="N58" s="15">
        <v>0</v>
      </c>
      <c r="O58" s="57">
        <f>-292876.85+244568</f>
        <v>-48308.84999999998</v>
      </c>
      <c r="P58" s="15">
        <v>-95842.65</v>
      </c>
      <c r="Q58" s="15">
        <v>0</v>
      </c>
      <c r="R58" s="15"/>
      <c r="S58" s="15">
        <v>0</v>
      </c>
      <c r="T58" s="15">
        <f>-287741.3+244568</f>
        <v>-43173.29999999999</v>
      </c>
      <c r="U58" s="15">
        <f>-570732.4+641506+1032413-1254973</f>
        <v>-151786.3999999999</v>
      </c>
      <c r="V58" s="15">
        <v>0</v>
      </c>
      <c r="W58" s="15"/>
      <c r="X58" s="15"/>
      <c r="Y58" s="15"/>
      <c r="Z58" s="15"/>
      <c r="AA58" s="15"/>
      <c r="AB58" s="15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4.25">
      <c r="A59" s="35">
        <f t="shared" si="2"/>
        <v>41</v>
      </c>
      <c r="B59" s="20" t="s">
        <v>478</v>
      </c>
      <c r="C59" s="15">
        <f t="shared" si="3"/>
        <v>-195999.35</v>
      </c>
      <c r="D59" s="15">
        <f t="shared" si="0"/>
        <v>-136764.05</v>
      </c>
      <c r="E59" s="15"/>
      <c r="F59" s="15"/>
      <c r="G59" s="15">
        <f t="shared" si="4"/>
        <v>-166382</v>
      </c>
      <c r="H59" s="15"/>
      <c r="I59" s="15">
        <f t="shared" si="5"/>
        <v>0</v>
      </c>
      <c r="J59" s="15">
        <f t="shared" si="5"/>
        <v>559.6499999999942</v>
      </c>
      <c r="K59" s="15">
        <f t="shared" si="5"/>
        <v>-166941.34999999998</v>
      </c>
      <c r="L59" s="15">
        <f t="shared" si="5"/>
        <v>0</v>
      </c>
      <c r="M59" s="15"/>
      <c r="N59" s="15">
        <v>0</v>
      </c>
      <c r="O59" s="57">
        <f>-278792+278792</f>
        <v>0</v>
      </c>
      <c r="P59" s="15">
        <v>-195999.35</v>
      </c>
      <c r="Q59" s="15">
        <v>0</v>
      </c>
      <c r="R59" s="15"/>
      <c r="S59" s="15">
        <v>0</v>
      </c>
      <c r="T59" s="15">
        <f>-277672.7+278792</f>
        <v>1119.2999999999884</v>
      </c>
      <c r="U59" s="15">
        <f>-669039.35+627967-759968+663157</f>
        <v>-137883.34999999998</v>
      </c>
      <c r="V59" s="15">
        <v>0</v>
      </c>
      <c r="W59" s="15"/>
      <c r="X59" s="15"/>
      <c r="Y59" s="15"/>
      <c r="Z59" s="15"/>
      <c r="AA59" s="15"/>
      <c r="AB59" s="15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4.25">
      <c r="A60" s="35">
        <f t="shared" si="2"/>
        <v>42</v>
      </c>
      <c r="B60" s="15" t="s">
        <v>156</v>
      </c>
      <c r="C60" s="15">
        <f t="shared" si="3"/>
        <v>-1127246</v>
      </c>
      <c r="D60" s="15">
        <f t="shared" si="0"/>
        <v>-1127246</v>
      </c>
      <c r="E60" s="15"/>
      <c r="F60" s="15"/>
      <c r="G60" s="15">
        <f t="shared" si="4"/>
        <v>-1127246</v>
      </c>
      <c r="H60" s="15"/>
      <c r="I60" s="15">
        <f t="shared" si="5"/>
        <v>0</v>
      </c>
      <c r="J60" s="15">
        <f t="shared" si="5"/>
        <v>0</v>
      </c>
      <c r="K60" s="15">
        <f t="shared" si="5"/>
        <v>-1127246</v>
      </c>
      <c r="L60" s="15">
        <f t="shared" si="5"/>
        <v>0</v>
      </c>
      <c r="M60" s="15"/>
      <c r="N60" s="15">
        <v>0</v>
      </c>
      <c r="O60" s="57">
        <v>0</v>
      </c>
      <c r="P60" s="15">
        <v>-1127246</v>
      </c>
      <c r="Q60" s="15">
        <v>0</v>
      </c>
      <c r="R60" s="15"/>
      <c r="S60" s="15">
        <v>0</v>
      </c>
      <c r="T60" s="15">
        <v>0</v>
      </c>
      <c r="U60" s="15">
        <v>-1127246</v>
      </c>
      <c r="V60" s="15">
        <v>0</v>
      </c>
      <c r="W60" s="15"/>
      <c r="X60" s="15"/>
      <c r="Y60" s="15"/>
      <c r="Z60" s="15"/>
      <c r="AA60" s="15"/>
      <c r="AB60" s="15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4.25">
      <c r="A61" s="35">
        <f t="shared" si="2"/>
        <v>43</v>
      </c>
      <c r="B61" s="15" t="s">
        <v>158</v>
      </c>
      <c r="C61" s="15">
        <f t="shared" si="3"/>
        <v>0</v>
      </c>
      <c r="D61" s="15">
        <f t="shared" si="0"/>
        <v>0</v>
      </c>
      <c r="E61" s="15"/>
      <c r="F61" s="15"/>
      <c r="G61" s="15">
        <f t="shared" si="4"/>
        <v>0</v>
      </c>
      <c r="H61" s="15"/>
      <c r="I61" s="15">
        <f t="shared" si="5"/>
        <v>0</v>
      </c>
      <c r="J61" s="15">
        <f t="shared" si="5"/>
        <v>0</v>
      </c>
      <c r="K61" s="15">
        <f t="shared" si="5"/>
        <v>0</v>
      </c>
      <c r="L61" s="15">
        <f t="shared" si="5"/>
        <v>0</v>
      </c>
      <c r="M61" s="15"/>
      <c r="N61" s="15">
        <v>0</v>
      </c>
      <c r="O61" s="57">
        <v>0</v>
      </c>
      <c r="P61" s="15">
        <v>0</v>
      </c>
      <c r="Q61" s="15">
        <v>0</v>
      </c>
      <c r="R61" s="15"/>
      <c r="S61" s="15">
        <v>0</v>
      </c>
      <c r="T61" s="15">
        <v>0</v>
      </c>
      <c r="U61" s="15">
        <v>0</v>
      </c>
      <c r="V61" s="15">
        <v>0</v>
      </c>
      <c r="W61" s="15"/>
      <c r="X61" s="15"/>
      <c r="Y61" s="15"/>
      <c r="Z61" s="15"/>
      <c r="AA61" s="15"/>
      <c r="AB61" s="15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14.25">
      <c r="A62" s="35">
        <f t="shared" si="2"/>
        <v>44</v>
      </c>
      <c r="B62" s="20" t="s">
        <v>479</v>
      </c>
      <c r="C62" s="15">
        <f t="shared" si="3"/>
        <v>0</v>
      </c>
      <c r="D62" s="15">
        <f t="shared" si="0"/>
        <v>0</v>
      </c>
      <c r="E62" s="15"/>
      <c r="F62" s="15"/>
      <c r="G62" s="15">
        <f>ROUND(SUM(C62:F62)/2,0)</f>
        <v>0</v>
      </c>
      <c r="H62" s="15"/>
      <c r="I62" s="15">
        <f t="shared" si="5"/>
        <v>0</v>
      </c>
      <c r="J62" s="15">
        <f t="shared" si="5"/>
        <v>0</v>
      </c>
      <c r="K62" s="15">
        <f t="shared" si="5"/>
        <v>0</v>
      </c>
      <c r="L62" s="15">
        <f t="shared" si="5"/>
        <v>0</v>
      </c>
      <c r="M62" s="15"/>
      <c r="N62" s="15">
        <v>0</v>
      </c>
      <c r="O62" s="89">
        <v>0</v>
      </c>
      <c r="P62" s="15">
        <v>0</v>
      </c>
      <c r="Q62" s="15">
        <v>0</v>
      </c>
      <c r="R62" s="15"/>
      <c r="S62" s="15">
        <v>0</v>
      </c>
      <c r="T62" s="15">
        <v>0</v>
      </c>
      <c r="U62" s="15">
        <v>0</v>
      </c>
      <c r="V62" s="15">
        <v>0</v>
      </c>
      <c r="W62" s="15"/>
      <c r="X62" s="15"/>
      <c r="Y62" s="15"/>
      <c r="Z62" s="15"/>
      <c r="AA62" s="15"/>
      <c r="AB62" s="15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14.25">
      <c r="A63" s="35">
        <f t="shared" si="2"/>
        <v>45</v>
      </c>
      <c r="B63" s="20" t="s">
        <v>157</v>
      </c>
      <c r="C63" s="15">
        <f t="shared" si="3"/>
        <v>0</v>
      </c>
      <c r="D63" s="15">
        <f t="shared" si="0"/>
        <v>0</v>
      </c>
      <c r="E63" s="15"/>
      <c r="F63" s="15"/>
      <c r="G63" s="15">
        <f t="shared" si="4"/>
        <v>0</v>
      </c>
      <c r="H63" s="15"/>
      <c r="I63" s="15">
        <f t="shared" si="5"/>
        <v>0</v>
      </c>
      <c r="J63" s="15">
        <f t="shared" si="5"/>
        <v>0</v>
      </c>
      <c r="K63" s="15">
        <f t="shared" si="5"/>
        <v>0</v>
      </c>
      <c r="L63" s="15">
        <f t="shared" si="5"/>
        <v>0</v>
      </c>
      <c r="M63" s="15"/>
      <c r="N63" s="15">
        <v>0</v>
      </c>
      <c r="O63" s="89">
        <v>0</v>
      </c>
      <c r="P63" s="15">
        <v>0</v>
      </c>
      <c r="Q63" s="15">
        <v>0</v>
      </c>
      <c r="R63" s="15"/>
      <c r="S63" s="15">
        <v>0</v>
      </c>
      <c r="T63" s="15">
        <v>0</v>
      </c>
      <c r="U63" s="15">
        <v>0</v>
      </c>
      <c r="V63" s="15">
        <v>0</v>
      </c>
      <c r="W63" s="15"/>
      <c r="X63" s="15"/>
      <c r="Y63" s="15"/>
      <c r="Z63" s="15"/>
      <c r="AA63" s="15"/>
      <c r="AB63" s="15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14.25">
      <c r="A64" s="35">
        <f t="shared" si="2"/>
        <v>46</v>
      </c>
      <c r="B64" s="20" t="s">
        <v>480</v>
      </c>
      <c r="C64" s="15">
        <f t="shared" si="3"/>
        <v>0</v>
      </c>
      <c r="D64" s="15">
        <f t="shared" si="0"/>
        <v>0</v>
      </c>
      <c r="E64" s="15"/>
      <c r="F64" s="15"/>
      <c r="G64" s="15">
        <f t="shared" si="4"/>
        <v>0</v>
      </c>
      <c r="H64" s="15"/>
      <c r="I64" s="15">
        <f t="shared" si="5"/>
        <v>0</v>
      </c>
      <c r="J64" s="15">
        <f t="shared" si="5"/>
        <v>0</v>
      </c>
      <c r="K64" s="15">
        <f t="shared" si="5"/>
        <v>0</v>
      </c>
      <c r="L64" s="15">
        <f t="shared" si="5"/>
        <v>0</v>
      </c>
      <c r="M64" s="15"/>
      <c r="N64" s="15">
        <v>0</v>
      </c>
      <c r="O64" s="89">
        <v>0</v>
      </c>
      <c r="P64" s="15">
        <v>0</v>
      </c>
      <c r="Q64" s="15">
        <v>0</v>
      </c>
      <c r="R64" s="15"/>
      <c r="S64" s="15">
        <v>0</v>
      </c>
      <c r="T64" s="15">
        <v>0</v>
      </c>
      <c r="U64" s="15">
        <v>0</v>
      </c>
      <c r="V64" s="15">
        <v>0</v>
      </c>
      <c r="W64" s="15"/>
      <c r="X64" s="15"/>
      <c r="Y64" s="15"/>
      <c r="Z64" s="15"/>
      <c r="AA64" s="15"/>
      <c r="AB64" s="15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4.25">
      <c r="A65" s="35">
        <f t="shared" si="2"/>
        <v>47</v>
      </c>
      <c r="B65" s="20" t="s">
        <v>481</v>
      </c>
      <c r="C65" s="15">
        <f t="shared" si="3"/>
        <v>-11672.58</v>
      </c>
      <c r="D65" s="15">
        <f t="shared" si="0"/>
        <v>-11776.57</v>
      </c>
      <c r="E65" s="15"/>
      <c r="F65" s="15"/>
      <c r="G65" s="15">
        <f>ROUND(SUM(C65:F65)/2,0)</f>
        <v>-11725</v>
      </c>
      <c r="H65" s="15"/>
      <c r="I65" s="15">
        <f t="shared" si="5"/>
        <v>0</v>
      </c>
      <c r="J65" s="15">
        <f t="shared" si="5"/>
        <v>-11724.575</v>
      </c>
      <c r="K65" s="15">
        <f t="shared" si="5"/>
        <v>0</v>
      </c>
      <c r="L65" s="15">
        <f t="shared" si="5"/>
        <v>0</v>
      </c>
      <c r="M65" s="15"/>
      <c r="N65" s="15">
        <v>0</v>
      </c>
      <c r="O65" s="57">
        <v>-11672.58</v>
      </c>
      <c r="P65" s="15">
        <v>0</v>
      </c>
      <c r="Q65" s="15">
        <v>0</v>
      </c>
      <c r="R65" s="15"/>
      <c r="S65" s="15">
        <v>0</v>
      </c>
      <c r="T65" s="15">
        <v>-11776.57</v>
      </c>
      <c r="U65" s="15">
        <v>0</v>
      </c>
      <c r="V65" s="15">
        <v>0</v>
      </c>
      <c r="W65" s="15"/>
      <c r="X65" s="15"/>
      <c r="Y65" s="15"/>
      <c r="Z65" s="15"/>
      <c r="AA65" s="15"/>
      <c r="AB65" s="15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14.25">
      <c r="A66" s="35">
        <f t="shared" si="2"/>
        <v>48</v>
      </c>
      <c r="B66" s="36" t="s">
        <v>160</v>
      </c>
      <c r="C66" s="15">
        <f t="shared" si="3"/>
        <v>0</v>
      </c>
      <c r="D66" s="15">
        <f t="shared" si="0"/>
        <v>0</v>
      </c>
      <c r="E66" s="15"/>
      <c r="F66" s="15"/>
      <c r="G66" s="15">
        <f t="shared" si="4"/>
        <v>0</v>
      </c>
      <c r="H66" s="15"/>
      <c r="I66" s="15">
        <f t="shared" si="5"/>
        <v>0</v>
      </c>
      <c r="J66" s="15">
        <f t="shared" si="5"/>
        <v>0</v>
      </c>
      <c r="K66" s="15">
        <f t="shared" si="5"/>
        <v>0</v>
      </c>
      <c r="L66" s="15">
        <f t="shared" si="5"/>
        <v>0</v>
      </c>
      <c r="M66" s="15"/>
      <c r="N66" s="15">
        <v>0</v>
      </c>
      <c r="O66" s="57">
        <v>0</v>
      </c>
      <c r="P66" s="15">
        <v>0</v>
      </c>
      <c r="Q66" s="15">
        <v>0</v>
      </c>
      <c r="R66" s="15"/>
      <c r="S66" s="15">
        <v>0</v>
      </c>
      <c r="T66" s="15">
        <v>0</v>
      </c>
      <c r="U66" s="15">
        <v>0</v>
      </c>
      <c r="V66" s="15">
        <v>0</v>
      </c>
      <c r="W66" s="15"/>
      <c r="X66" s="15"/>
      <c r="Y66" s="15"/>
      <c r="Z66" s="15"/>
      <c r="AA66" s="15"/>
      <c r="AB66" s="15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14.25">
      <c r="A67" s="35">
        <f t="shared" si="2"/>
        <v>49</v>
      </c>
      <c r="B67" s="20" t="s">
        <v>327</v>
      </c>
      <c r="C67" s="15">
        <f t="shared" si="3"/>
        <v>0</v>
      </c>
      <c r="D67" s="15">
        <f t="shared" si="0"/>
        <v>0</v>
      </c>
      <c r="E67" s="15"/>
      <c r="F67" s="15"/>
      <c r="G67" s="15">
        <f t="shared" si="4"/>
        <v>0</v>
      </c>
      <c r="H67" s="15"/>
      <c r="I67" s="15">
        <f t="shared" si="5"/>
        <v>0</v>
      </c>
      <c r="J67" s="15">
        <f t="shared" si="5"/>
        <v>0</v>
      </c>
      <c r="K67" s="15">
        <f t="shared" si="5"/>
        <v>0</v>
      </c>
      <c r="L67" s="15">
        <f t="shared" si="5"/>
        <v>0</v>
      </c>
      <c r="M67" s="15"/>
      <c r="N67" s="15">
        <v>0</v>
      </c>
      <c r="O67" s="57">
        <v>0</v>
      </c>
      <c r="P67" s="15">
        <v>0</v>
      </c>
      <c r="Q67" s="15">
        <v>0</v>
      </c>
      <c r="R67" s="15"/>
      <c r="S67" s="15">
        <v>0</v>
      </c>
      <c r="T67" s="15">
        <v>0</v>
      </c>
      <c r="U67" s="15">
        <v>0</v>
      </c>
      <c r="V67" s="15">
        <v>0</v>
      </c>
      <c r="W67" s="15"/>
      <c r="X67" s="15"/>
      <c r="Y67" s="15"/>
      <c r="Z67" s="15"/>
      <c r="AA67" s="15"/>
      <c r="AB67" s="15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14.25">
      <c r="A68" s="35">
        <f t="shared" si="2"/>
        <v>50</v>
      </c>
      <c r="B68" s="20" t="s">
        <v>482</v>
      </c>
      <c r="C68" s="15">
        <f t="shared" si="3"/>
        <v>0</v>
      </c>
      <c r="D68" s="15">
        <f t="shared" si="0"/>
        <v>0</v>
      </c>
      <c r="E68" s="15"/>
      <c r="F68" s="15"/>
      <c r="G68" s="15">
        <f>ROUND(SUM(C68:F68)/2,0)</f>
        <v>0</v>
      </c>
      <c r="H68" s="15"/>
      <c r="I68" s="15">
        <f t="shared" si="5"/>
        <v>0</v>
      </c>
      <c r="J68" s="15">
        <f t="shared" si="5"/>
        <v>0</v>
      </c>
      <c r="K68" s="15">
        <f t="shared" si="5"/>
        <v>0</v>
      </c>
      <c r="L68" s="15">
        <f t="shared" si="5"/>
        <v>0</v>
      </c>
      <c r="M68" s="15"/>
      <c r="N68" s="15">
        <v>0</v>
      </c>
      <c r="O68" s="57">
        <v>0</v>
      </c>
      <c r="P68" s="15">
        <v>0</v>
      </c>
      <c r="Q68" s="15">
        <v>0</v>
      </c>
      <c r="R68" s="15"/>
      <c r="S68" s="15">
        <v>0</v>
      </c>
      <c r="T68" s="15">
        <v>0</v>
      </c>
      <c r="U68" s="15">
        <v>0</v>
      </c>
      <c r="V68" s="15">
        <v>0</v>
      </c>
      <c r="W68" s="15"/>
      <c r="X68" s="15"/>
      <c r="Y68" s="15"/>
      <c r="Z68" s="15"/>
      <c r="AA68" s="15"/>
      <c r="AB68" s="15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14.25">
      <c r="A69" s="35">
        <f t="shared" si="2"/>
        <v>51</v>
      </c>
      <c r="B69" s="20" t="s">
        <v>394</v>
      </c>
      <c r="C69" s="15">
        <f t="shared" si="3"/>
        <v>-5325274.7</v>
      </c>
      <c r="D69" s="15">
        <f t="shared" si="0"/>
        <v>-22277618.65</v>
      </c>
      <c r="E69" s="15"/>
      <c r="F69" s="15"/>
      <c r="G69" s="15">
        <f>ROUND(SUM(C69:F69)/2,0)</f>
        <v>-13801447</v>
      </c>
      <c r="H69" s="15"/>
      <c r="I69" s="15">
        <f t="shared" si="5"/>
        <v>0</v>
      </c>
      <c r="J69" s="15">
        <f t="shared" si="5"/>
        <v>0</v>
      </c>
      <c r="K69" s="15">
        <f t="shared" si="5"/>
        <v>-13801446.674999999</v>
      </c>
      <c r="L69" s="15">
        <f t="shared" si="5"/>
        <v>0</v>
      </c>
      <c r="M69" s="15"/>
      <c r="N69" s="15">
        <v>0</v>
      </c>
      <c r="O69" s="57">
        <v>0</v>
      </c>
      <c r="P69" s="15">
        <v>-5325274.7</v>
      </c>
      <c r="Q69" s="15">
        <v>0</v>
      </c>
      <c r="R69" s="15"/>
      <c r="S69" s="15">
        <v>0</v>
      </c>
      <c r="T69" s="15">
        <v>0</v>
      </c>
      <c r="U69" s="15">
        <v>-22277618.65</v>
      </c>
      <c r="V69" s="15">
        <v>0</v>
      </c>
      <c r="W69" s="15"/>
      <c r="X69" s="15"/>
      <c r="Y69" s="15"/>
      <c r="Z69" s="15"/>
      <c r="AA69" s="15"/>
      <c r="AB69" s="15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14.25">
      <c r="A70" s="35">
        <f t="shared" si="2"/>
        <v>52</v>
      </c>
      <c r="B70" s="20" t="s">
        <v>483</v>
      </c>
      <c r="C70" s="15">
        <f t="shared" si="3"/>
        <v>6973375.51</v>
      </c>
      <c r="D70" s="15">
        <f t="shared" si="0"/>
        <v>6427364.08</v>
      </c>
      <c r="E70" s="15"/>
      <c r="F70" s="15"/>
      <c r="G70" s="15">
        <f t="shared" si="4"/>
        <v>6700370</v>
      </c>
      <c r="H70" s="15"/>
      <c r="I70" s="15">
        <f t="shared" si="5"/>
        <v>0</v>
      </c>
      <c r="J70" s="15">
        <f t="shared" si="5"/>
        <v>0</v>
      </c>
      <c r="K70" s="15">
        <f t="shared" si="5"/>
        <v>6700369.795</v>
      </c>
      <c r="L70" s="15">
        <f t="shared" si="5"/>
        <v>0</v>
      </c>
      <c r="M70" s="15"/>
      <c r="N70" s="15">
        <v>0</v>
      </c>
      <c r="O70" s="57">
        <v>0</v>
      </c>
      <c r="P70" s="15">
        <f>9438795.51-2465420</f>
        <v>6973375.51</v>
      </c>
      <c r="Q70" s="15">
        <v>0</v>
      </c>
      <c r="R70" s="15"/>
      <c r="S70" s="15">
        <v>0</v>
      </c>
      <c r="T70" s="15">
        <v>0</v>
      </c>
      <c r="U70" s="15">
        <f>8892784.08-2465420</f>
        <v>6427364.08</v>
      </c>
      <c r="V70" s="15">
        <v>0</v>
      </c>
      <c r="W70" s="15"/>
      <c r="X70" s="15"/>
      <c r="Y70" s="15"/>
      <c r="Z70" s="15"/>
      <c r="AA70" s="15"/>
      <c r="AB70" s="15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14.25">
      <c r="A71" s="35">
        <f t="shared" si="2"/>
        <v>53</v>
      </c>
      <c r="B71" s="20" t="s">
        <v>484</v>
      </c>
      <c r="C71" s="15">
        <f t="shared" si="3"/>
        <v>0</v>
      </c>
      <c r="D71" s="15">
        <f t="shared" si="0"/>
        <v>0</v>
      </c>
      <c r="E71" s="15"/>
      <c r="F71" s="15"/>
      <c r="G71" s="15">
        <f t="shared" si="4"/>
        <v>0</v>
      </c>
      <c r="H71" s="15"/>
      <c r="I71" s="15">
        <f t="shared" si="5"/>
        <v>0</v>
      </c>
      <c r="J71" s="15">
        <f t="shared" si="5"/>
        <v>0</v>
      </c>
      <c r="K71" s="15">
        <f t="shared" si="5"/>
        <v>0</v>
      </c>
      <c r="L71" s="15">
        <f t="shared" si="5"/>
        <v>0</v>
      </c>
      <c r="M71" s="15"/>
      <c r="N71" s="15">
        <v>0</v>
      </c>
      <c r="O71" s="57">
        <v>0</v>
      </c>
      <c r="P71" s="15">
        <v>0</v>
      </c>
      <c r="Q71" s="15">
        <v>0</v>
      </c>
      <c r="R71" s="15"/>
      <c r="S71" s="15">
        <v>0</v>
      </c>
      <c r="T71" s="15">
        <v>0</v>
      </c>
      <c r="U71" s="15">
        <v>0</v>
      </c>
      <c r="V71" s="15">
        <v>0</v>
      </c>
      <c r="W71" s="15"/>
      <c r="X71" s="15"/>
      <c r="Y71" s="15"/>
      <c r="Z71" s="15"/>
      <c r="AA71" s="15"/>
      <c r="AB71" s="15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14.25">
      <c r="A72" s="35">
        <f t="shared" si="2"/>
        <v>54</v>
      </c>
      <c r="B72" s="20" t="s">
        <v>164</v>
      </c>
      <c r="C72" s="15">
        <f>SUM(N72:Q72)</f>
        <v>342357.96</v>
      </c>
      <c r="D72" s="15">
        <f>SUM(S72:V72)</f>
        <v>384308.04</v>
      </c>
      <c r="E72" s="15"/>
      <c r="F72" s="15"/>
      <c r="G72" s="15">
        <f>ROUND(SUM(C72:F72)/2,0)</f>
        <v>363333</v>
      </c>
      <c r="H72" s="15"/>
      <c r="I72" s="15">
        <f>(+N72+S72)/2</f>
        <v>0</v>
      </c>
      <c r="J72" s="15">
        <f>(+O72+T72)/2</f>
        <v>363333</v>
      </c>
      <c r="K72" s="15">
        <f>(+P72+U72)/2</f>
        <v>0</v>
      </c>
      <c r="L72" s="15">
        <f>(+Q72+V72)/2</f>
        <v>0</v>
      </c>
      <c r="M72" s="15"/>
      <c r="N72" s="15">
        <v>0</v>
      </c>
      <c r="O72" s="57">
        <v>342357.96</v>
      </c>
      <c r="P72" s="15">
        <v>0</v>
      </c>
      <c r="Q72" s="15">
        <v>0</v>
      </c>
      <c r="R72" s="15"/>
      <c r="S72" s="15">
        <v>0</v>
      </c>
      <c r="T72" s="15">
        <v>384308.04</v>
      </c>
      <c r="U72" s="15">
        <v>0</v>
      </c>
      <c r="V72" s="15">
        <v>0</v>
      </c>
      <c r="W72" s="15"/>
      <c r="X72" s="15"/>
      <c r="Y72" s="15"/>
      <c r="Z72" s="15"/>
      <c r="AA72" s="15"/>
      <c r="AB72" s="15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14.25">
      <c r="A73" s="35">
        <f t="shared" si="2"/>
        <v>55</v>
      </c>
      <c r="B73" s="15" t="s">
        <v>485</v>
      </c>
      <c r="C73" s="15">
        <f t="shared" si="3"/>
        <v>0</v>
      </c>
      <c r="D73" s="15">
        <f t="shared" si="0"/>
        <v>0</v>
      </c>
      <c r="E73" s="15"/>
      <c r="F73" s="15"/>
      <c r="G73" s="15">
        <f aca="true" t="shared" si="6" ref="G73:G107">ROUND(SUM(C73:F73)/2,0)</f>
        <v>0</v>
      </c>
      <c r="H73" s="15"/>
      <c r="I73" s="15">
        <f t="shared" si="5"/>
        <v>0</v>
      </c>
      <c r="J73" s="15">
        <f t="shared" si="5"/>
        <v>0</v>
      </c>
      <c r="K73" s="15">
        <f t="shared" si="5"/>
        <v>0</v>
      </c>
      <c r="L73" s="15">
        <f t="shared" si="5"/>
        <v>0</v>
      </c>
      <c r="M73" s="15"/>
      <c r="N73" s="15">
        <v>0</v>
      </c>
      <c r="O73" s="57">
        <v>0</v>
      </c>
      <c r="P73" s="15">
        <v>0</v>
      </c>
      <c r="Q73" s="15">
        <v>0</v>
      </c>
      <c r="R73" s="15"/>
      <c r="S73" s="15">
        <v>0</v>
      </c>
      <c r="T73" s="15">
        <v>0</v>
      </c>
      <c r="U73" s="15">
        <v>0</v>
      </c>
      <c r="V73" s="15">
        <v>0</v>
      </c>
      <c r="W73" s="15"/>
      <c r="X73" s="15"/>
      <c r="Y73" s="15"/>
      <c r="Z73" s="15"/>
      <c r="AA73" s="15"/>
      <c r="AB73" s="15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14.25">
      <c r="A74" s="35">
        <f t="shared" si="2"/>
        <v>56</v>
      </c>
      <c r="B74" s="20" t="s">
        <v>486</v>
      </c>
      <c r="C74" s="15">
        <f t="shared" si="3"/>
        <v>0</v>
      </c>
      <c r="D74" s="15">
        <f t="shared" si="0"/>
        <v>0</v>
      </c>
      <c r="E74" s="15"/>
      <c r="F74" s="15"/>
      <c r="G74" s="15">
        <f t="shared" si="6"/>
        <v>0</v>
      </c>
      <c r="H74" s="15"/>
      <c r="I74" s="15">
        <f t="shared" si="5"/>
        <v>0</v>
      </c>
      <c r="J74" s="15">
        <f t="shared" si="5"/>
        <v>0</v>
      </c>
      <c r="K74" s="15">
        <f t="shared" si="5"/>
        <v>0</v>
      </c>
      <c r="L74" s="15">
        <f t="shared" si="5"/>
        <v>0</v>
      </c>
      <c r="M74" s="15"/>
      <c r="N74" s="15">
        <v>0</v>
      </c>
      <c r="O74" s="57">
        <v>0</v>
      </c>
      <c r="P74" s="15">
        <v>0</v>
      </c>
      <c r="Q74" s="15">
        <v>0</v>
      </c>
      <c r="R74" s="15"/>
      <c r="S74" s="15">
        <v>0</v>
      </c>
      <c r="T74" s="15">
        <v>0</v>
      </c>
      <c r="U74" s="15">
        <v>0</v>
      </c>
      <c r="V74" s="15">
        <v>0</v>
      </c>
      <c r="W74" s="15"/>
      <c r="X74" s="15"/>
      <c r="Y74" s="15"/>
      <c r="Z74" s="15"/>
      <c r="AA74" s="15"/>
      <c r="AB74" s="15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ht="14.25">
      <c r="A75" s="35">
        <f t="shared" si="2"/>
        <v>57</v>
      </c>
      <c r="B75" s="20" t="s">
        <v>395</v>
      </c>
      <c r="C75" s="15">
        <f t="shared" si="3"/>
        <v>2534815.14</v>
      </c>
      <c r="D75" s="15">
        <f t="shared" si="0"/>
        <v>1022022.33</v>
      </c>
      <c r="E75" s="15"/>
      <c r="F75" s="15"/>
      <c r="G75" s="15">
        <f t="shared" si="6"/>
        <v>1778419</v>
      </c>
      <c r="H75" s="15"/>
      <c r="I75" s="15">
        <f t="shared" si="5"/>
        <v>0</v>
      </c>
      <c r="J75" s="15">
        <f t="shared" si="5"/>
        <v>1778418.735</v>
      </c>
      <c r="K75" s="15">
        <f t="shared" si="5"/>
        <v>0</v>
      </c>
      <c r="L75" s="15">
        <f t="shared" si="5"/>
        <v>0</v>
      </c>
      <c r="M75" s="15"/>
      <c r="N75" s="15">
        <v>0</v>
      </c>
      <c r="O75" s="57">
        <v>2534815.14</v>
      </c>
      <c r="P75" s="15">
        <v>0</v>
      </c>
      <c r="Q75" s="15">
        <v>0</v>
      </c>
      <c r="R75" s="15"/>
      <c r="S75" s="15">
        <v>0</v>
      </c>
      <c r="T75" s="15">
        <v>1022022.33</v>
      </c>
      <c r="U75" s="15">
        <v>0</v>
      </c>
      <c r="V75" s="15">
        <v>0</v>
      </c>
      <c r="W75" s="15"/>
      <c r="X75" s="15"/>
      <c r="Y75" s="15"/>
      <c r="Z75" s="15"/>
      <c r="AA75" s="15"/>
      <c r="AB75" s="15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14.25">
      <c r="A76" s="35">
        <f t="shared" si="2"/>
        <v>58</v>
      </c>
      <c r="B76" s="20" t="s">
        <v>487</v>
      </c>
      <c r="C76" s="15">
        <f t="shared" si="3"/>
        <v>0</v>
      </c>
      <c r="D76" s="15">
        <f t="shared" si="0"/>
        <v>0</v>
      </c>
      <c r="E76" s="15"/>
      <c r="F76" s="15"/>
      <c r="G76" s="15">
        <f t="shared" si="6"/>
        <v>0</v>
      </c>
      <c r="H76" s="15"/>
      <c r="I76" s="15">
        <f t="shared" si="5"/>
        <v>0</v>
      </c>
      <c r="J76" s="15">
        <f t="shared" si="5"/>
        <v>0</v>
      </c>
      <c r="K76" s="15">
        <f t="shared" si="5"/>
        <v>0</v>
      </c>
      <c r="L76" s="15">
        <f t="shared" si="5"/>
        <v>0</v>
      </c>
      <c r="M76" s="15"/>
      <c r="N76" s="15">
        <v>0</v>
      </c>
      <c r="O76" s="57">
        <v>0</v>
      </c>
      <c r="P76" s="15">
        <v>0</v>
      </c>
      <c r="Q76" s="15">
        <v>0</v>
      </c>
      <c r="R76" s="15"/>
      <c r="S76" s="15">
        <v>0</v>
      </c>
      <c r="T76" s="15">
        <v>0</v>
      </c>
      <c r="U76" s="15">
        <v>0</v>
      </c>
      <c r="V76" s="15">
        <v>0</v>
      </c>
      <c r="W76" s="15"/>
      <c r="X76" s="15"/>
      <c r="Y76" s="15"/>
      <c r="Z76" s="15"/>
      <c r="AA76" s="15"/>
      <c r="AB76" s="15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14.25">
      <c r="A77" s="35">
        <f t="shared" si="2"/>
        <v>59</v>
      </c>
      <c r="B77" s="20" t="s">
        <v>437</v>
      </c>
      <c r="C77" s="15">
        <f t="shared" si="3"/>
        <v>0</v>
      </c>
      <c r="D77" s="15">
        <f t="shared" si="0"/>
        <v>0</v>
      </c>
      <c r="E77" s="15"/>
      <c r="F77" s="15"/>
      <c r="G77" s="15">
        <f t="shared" si="6"/>
        <v>0</v>
      </c>
      <c r="H77" s="15"/>
      <c r="I77" s="15">
        <f t="shared" si="5"/>
        <v>0</v>
      </c>
      <c r="J77" s="15">
        <f t="shared" si="5"/>
        <v>0</v>
      </c>
      <c r="K77" s="15">
        <f t="shared" si="5"/>
        <v>0</v>
      </c>
      <c r="L77" s="15">
        <f t="shared" si="5"/>
        <v>0</v>
      </c>
      <c r="M77" s="15"/>
      <c r="N77" s="15">
        <v>0</v>
      </c>
      <c r="O77" s="57">
        <v>0</v>
      </c>
      <c r="P77" s="15">
        <v>0</v>
      </c>
      <c r="Q77" s="15">
        <v>0</v>
      </c>
      <c r="R77" s="15"/>
      <c r="S77" s="15">
        <v>0</v>
      </c>
      <c r="T77" s="15">
        <v>0</v>
      </c>
      <c r="U77" s="15">
        <v>0</v>
      </c>
      <c r="V77" s="15">
        <v>0</v>
      </c>
      <c r="W77" s="15"/>
      <c r="X77" s="15"/>
      <c r="Y77" s="15"/>
      <c r="Z77" s="15"/>
      <c r="AA77" s="15"/>
      <c r="AB77" s="15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14.25">
      <c r="A78" s="35">
        <f t="shared" si="2"/>
        <v>60</v>
      </c>
      <c r="B78" s="15" t="s">
        <v>172</v>
      </c>
      <c r="C78" s="15">
        <f t="shared" si="3"/>
        <v>416367.25</v>
      </c>
      <c r="D78" s="15">
        <f t="shared" si="0"/>
        <v>404019.94</v>
      </c>
      <c r="E78" s="15"/>
      <c r="F78" s="15"/>
      <c r="G78" s="15">
        <f t="shared" si="6"/>
        <v>410194</v>
      </c>
      <c r="H78" s="15"/>
      <c r="I78" s="15">
        <f t="shared" si="5"/>
        <v>0</v>
      </c>
      <c r="J78" s="15">
        <f t="shared" si="5"/>
        <v>0</v>
      </c>
      <c r="K78" s="15">
        <f t="shared" si="5"/>
        <v>410193.595</v>
      </c>
      <c r="L78" s="15">
        <f t="shared" si="5"/>
        <v>0</v>
      </c>
      <c r="M78" s="15"/>
      <c r="N78" s="15">
        <v>0</v>
      </c>
      <c r="O78" s="57">
        <v>0</v>
      </c>
      <c r="P78" s="15">
        <v>416367.25</v>
      </c>
      <c r="Q78" s="15">
        <v>0</v>
      </c>
      <c r="R78" s="15"/>
      <c r="S78" s="15">
        <v>0</v>
      </c>
      <c r="T78" s="15">
        <v>0</v>
      </c>
      <c r="U78" s="15">
        <v>404019.94</v>
      </c>
      <c r="V78" s="15">
        <v>0</v>
      </c>
      <c r="W78" s="15"/>
      <c r="X78" s="15"/>
      <c r="Y78" s="15"/>
      <c r="Z78" s="15"/>
      <c r="AA78" s="15"/>
      <c r="AB78" s="15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ht="14.25">
      <c r="A79" s="35">
        <f t="shared" si="2"/>
        <v>61</v>
      </c>
      <c r="B79" s="15" t="s">
        <v>577</v>
      </c>
      <c r="C79" s="15">
        <f>SUM(N79:Q79)</f>
        <v>34065827.83</v>
      </c>
      <c r="D79" s="15">
        <f>SUM(S79:V79)</f>
        <v>40749724.63</v>
      </c>
      <c r="E79" s="15"/>
      <c r="F79" s="15"/>
      <c r="G79" s="15">
        <f>ROUND(SUM(C79:F79)/2,0)</f>
        <v>37407776</v>
      </c>
      <c r="H79" s="15"/>
      <c r="I79" s="15">
        <f>(+N79+S79)/2</f>
        <v>0</v>
      </c>
      <c r="J79" s="15">
        <f>(+O79+T79)/2</f>
        <v>0</v>
      </c>
      <c r="K79" s="15">
        <f>(+P79+U79)/2</f>
        <v>37407776.230000004</v>
      </c>
      <c r="L79" s="15">
        <f>(+Q79+V79)/2</f>
        <v>0</v>
      </c>
      <c r="M79" s="15"/>
      <c r="N79" s="15">
        <v>0</v>
      </c>
      <c r="O79" s="57">
        <v>0</v>
      </c>
      <c r="P79" s="15">
        <v>34065827.83</v>
      </c>
      <c r="Q79" s="15">
        <v>0</v>
      </c>
      <c r="R79" s="15"/>
      <c r="S79" s="15">
        <v>0</v>
      </c>
      <c r="T79" s="15">
        <v>0</v>
      </c>
      <c r="U79" s="15">
        <v>40749724.63</v>
      </c>
      <c r="V79" s="15">
        <v>0</v>
      </c>
      <c r="W79" s="15"/>
      <c r="X79" s="15"/>
      <c r="Y79" s="15"/>
      <c r="Z79" s="15"/>
      <c r="AA79" s="15"/>
      <c r="AB79" s="15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ht="14.25">
      <c r="A80" s="35">
        <f t="shared" si="2"/>
        <v>62</v>
      </c>
      <c r="B80" s="15" t="s">
        <v>488</v>
      </c>
      <c r="C80" s="15">
        <f t="shared" si="3"/>
        <v>0</v>
      </c>
      <c r="D80" s="15">
        <f t="shared" si="0"/>
        <v>0</v>
      </c>
      <c r="E80" s="15"/>
      <c r="F80" s="15"/>
      <c r="G80" s="15">
        <f t="shared" si="6"/>
        <v>0</v>
      </c>
      <c r="H80" s="15"/>
      <c r="I80" s="15">
        <f t="shared" si="5"/>
        <v>0</v>
      </c>
      <c r="J80" s="15">
        <f t="shared" si="5"/>
        <v>0</v>
      </c>
      <c r="K80" s="15">
        <f t="shared" si="5"/>
        <v>0</v>
      </c>
      <c r="L80" s="15">
        <f t="shared" si="5"/>
        <v>0</v>
      </c>
      <c r="M80" s="15"/>
      <c r="N80" s="15">
        <v>0</v>
      </c>
      <c r="O80" s="57">
        <v>0</v>
      </c>
      <c r="P80" s="15">
        <v>0</v>
      </c>
      <c r="Q80" s="15">
        <v>0</v>
      </c>
      <c r="R80" s="15"/>
      <c r="S80" s="15">
        <v>0</v>
      </c>
      <c r="T80" s="15">
        <v>0</v>
      </c>
      <c r="U80" s="15">
        <v>0</v>
      </c>
      <c r="V80" s="15">
        <v>0</v>
      </c>
      <c r="W80" s="15"/>
      <c r="X80" s="15"/>
      <c r="Y80" s="15"/>
      <c r="Z80" s="15"/>
      <c r="AA80" s="15"/>
      <c r="AB80" s="15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ht="14.25">
      <c r="A81" s="35">
        <f t="shared" si="2"/>
        <v>63</v>
      </c>
      <c r="B81" s="20" t="s">
        <v>164</v>
      </c>
      <c r="C81" s="15">
        <f t="shared" si="3"/>
        <v>0</v>
      </c>
      <c r="D81" s="15">
        <f aca="true" t="shared" si="7" ref="D81:D115">SUM(S81:V81)</f>
        <v>0</v>
      </c>
      <c r="E81" s="15"/>
      <c r="F81" s="15"/>
      <c r="G81" s="15">
        <f t="shared" si="6"/>
        <v>0</v>
      </c>
      <c r="H81" s="15"/>
      <c r="I81" s="15">
        <f t="shared" si="5"/>
        <v>0</v>
      </c>
      <c r="J81" s="15">
        <f t="shared" si="5"/>
        <v>0</v>
      </c>
      <c r="K81" s="15">
        <f t="shared" si="5"/>
        <v>0</v>
      </c>
      <c r="L81" s="15">
        <f t="shared" si="5"/>
        <v>0</v>
      </c>
      <c r="M81" s="15"/>
      <c r="N81" s="15">
        <v>0</v>
      </c>
      <c r="O81" s="57">
        <v>0</v>
      </c>
      <c r="P81" s="15">
        <v>0</v>
      </c>
      <c r="Q81" s="15">
        <v>0</v>
      </c>
      <c r="R81" s="15"/>
      <c r="S81" s="15">
        <v>0</v>
      </c>
      <c r="T81" s="15">
        <v>0</v>
      </c>
      <c r="U81" s="15">
        <v>0</v>
      </c>
      <c r="V81" s="15">
        <v>0</v>
      </c>
      <c r="W81" s="15"/>
      <c r="X81" s="15"/>
      <c r="Y81" s="15"/>
      <c r="Z81" s="15"/>
      <c r="AA81" s="15"/>
      <c r="AB81" s="15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ht="14.25">
      <c r="A82" s="35">
        <f aca="true" t="shared" si="8" ref="A82:A125">+A81+1</f>
        <v>64</v>
      </c>
      <c r="B82" s="20" t="s">
        <v>489</v>
      </c>
      <c r="C82" s="15">
        <f>SUM(N82:Q82)</f>
        <v>0</v>
      </c>
      <c r="D82" s="15">
        <f>SUM(S82:V82)</f>
        <v>25700.48</v>
      </c>
      <c r="E82" s="15"/>
      <c r="F82" s="15"/>
      <c r="G82" s="15">
        <f>ROUND(SUM(C82:F82)/2,0)</f>
        <v>12850</v>
      </c>
      <c r="H82" s="15"/>
      <c r="I82" s="15">
        <f>(+N82+S82)/2</f>
        <v>0</v>
      </c>
      <c r="J82" s="15">
        <f>(+O82+T82)/2</f>
        <v>0</v>
      </c>
      <c r="K82" s="15">
        <f>(+P82+U82)/2</f>
        <v>12850.24</v>
      </c>
      <c r="L82" s="15">
        <f>(+Q82+V82)/2</f>
        <v>0</v>
      </c>
      <c r="M82" s="15"/>
      <c r="N82" s="15">
        <v>0</v>
      </c>
      <c r="O82" s="57">
        <v>0</v>
      </c>
      <c r="P82" s="15">
        <v>0</v>
      </c>
      <c r="Q82" s="15">
        <v>0</v>
      </c>
      <c r="R82" s="15"/>
      <c r="S82" s="15">
        <v>0</v>
      </c>
      <c r="T82" s="15">
        <v>0</v>
      </c>
      <c r="U82" s="15">
        <v>25700.48</v>
      </c>
      <c r="V82" s="15">
        <v>0</v>
      </c>
      <c r="W82" s="15"/>
      <c r="X82" s="15"/>
      <c r="Y82" s="15"/>
      <c r="Z82" s="15"/>
      <c r="AA82" s="15"/>
      <c r="AB82" s="15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ht="14.25">
      <c r="A83" s="35">
        <f t="shared" si="8"/>
        <v>65</v>
      </c>
      <c r="B83" s="20" t="s">
        <v>490</v>
      </c>
      <c r="C83" s="15">
        <f aca="true" t="shared" si="9" ref="C83:C115">SUM(N83:Q83)</f>
        <v>0</v>
      </c>
      <c r="D83" s="15">
        <f t="shared" si="7"/>
        <v>0</v>
      </c>
      <c r="E83" s="15"/>
      <c r="F83" s="15"/>
      <c r="G83" s="15">
        <f t="shared" si="6"/>
        <v>0</v>
      </c>
      <c r="H83" s="15"/>
      <c r="I83" s="15">
        <f t="shared" si="5"/>
        <v>0</v>
      </c>
      <c r="J83" s="15">
        <f t="shared" si="5"/>
        <v>0</v>
      </c>
      <c r="K83" s="15">
        <f t="shared" si="5"/>
        <v>0</v>
      </c>
      <c r="L83" s="15">
        <f t="shared" si="5"/>
        <v>0</v>
      </c>
      <c r="M83" s="15"/>
      <c r="N83" s="15">
        <v>0</v>
      </c>
      <c r="O83" s="57">
        <v>0</v>
      </c>
      <c r="P83" s="15">
        <v>0</v>
      </c>
      <c r="Q83" s="15">
        <v>0</v>
      </c>
      <c r="R83" s="15"/>
      <c r="S83" s="15">
        <v>0</v>
      </c>
      <c r="T83" s="15">
        <v>0</v>
      </c>
      <c r="U83" s="15">
        <v>0</v>
      </c>
      <c r="V83" s="15">
        <v>0</v>
      </c>
      <c r="W83" s="15"/>
      <c r="X83" s="15"/>
      <c r="Y83" s="15"/>
      <c r="Z83" s="15"/>
      <c r="AA83" s="15"/>
      <c r="AB83" s="15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14.25">
      <c r="A84" s="35">
        <f t="shared" si="8"/>
        <v>66</v>
      </c>
      <c r="B84" s="20" t="s">
        <v>491</v>
      </c>
      <c r="C84" s="15">
        <f t="shared" si="9"/>
        <v>0</v>
      </c>
      <c r="D84" s="15">
        <f t="shared" si="7"/>
        <v>0</v>
      </c>
      <c r="E84" s="15"/>
      <c r="F84" s="15"/>
      <c r="G84" s="15">
        <f t="shared" si="6"/>
        <v>0</v>
      </c>
      <c r="H84" s="15"/>
      <c r="I84" s="15">
        <f t="shared" si="5"/>
        <v>0</v>
      </c>
      <c r="J84" s="15">
        <f t="shared" si="5"/>
        <v>0</v>
      </c>
      <c r="K84" s="15">
        <f t="shared" si="5"/>
        <v>0</v>
      </c>
      <c r="L84" s="15">
        <f t="shared" si="5"/>
        <v>0</v>
      </c>
      <c r="M84" s="15"/>
      <c r="N84" s="15">
        <v>0</v>
      </c>
      <c r="O84" s="89">
        <v>0</v>
      </c>
      <c r="P84" s="15">
        <v>0</v>
      </c>
      <c r="Q84" s="15">
        <v>0</v>
      </c>
      <c r="R84" s="15"/>
      <c r="S84" s="15">
        <v>0</v>
      </c>
      <c r="T84" s="15">
        <v>0</v>
      </c>
      <c r="U84" s="15">
        <v>0</v>
      </c>
      <c r="V84" s="15">
        <v>0</v>
      </c>
      <c r="W84" s="15"/>
      <c r="X84" s="15"/>
      <c r="Y84" s="15"/>
      <c r="Z84" s="15"/>
      <c r="AA84" s="15"/>
      <c r="AB84" s="15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14.25">
      <c r="A85" s="35">
        <f t="shared" si="8"/>
        <v>67</v>
      </c>
      <c r="B85" s="20" t="s">
        <v>492</v>
      </c>
      <c r="C85" s="15">
        <f t="shared" si="9"/>
        <v>0</v>
      </c>
      <c r="D85" s="15">
        <f t="shared" si="7"/>
        <v>0</v>
      </c>
      <c r="E85" s="15"/>
      <c r="F85" s="15"/>
      <c r="G85" s="15">
        <f t="shared" si="6"/>
        <v>0</v>
      </c>
      <c r="H85" s="15"/>
      <c r="I85" s="15">
        <f t="shared" si="5"/>
        <v>0</v>
      </c>
      <c r="J85" s="15">
        <f t="shared" si="5"/>
        <v>0</v>
      </c>
      <c r="K85" s="15">
        <f t="shared" si="5"/>
        <v>0</v>
      </c>
      <c r="L85" s="15">
        <f t="shared" si="5"/>
        <v>0</v>
      </c>
      <c r="M85" s="15"/>
      <c r="N85" s="15">
        <v>0</v>
      </c>
      <c r="O85" s="89">
        <v>0</v>
      </c>
      <c r="P85" s="15">
        <v>0</v>
      </c>
      <c r="Q85" s="15">
        <v>0</v>
      </c>
      <c r="R85" s="15"/>
      <c r="S85" s="15">
        <v>0</v>
      </c>
      <c r="T85" s="15">
        <v>0</v>
      </c>
      <c r="U85" s="15">
        <v>0</v>
      </c>
      <c r="V85" s="15">
        <v>0</v>
      </c>
      <c r="W85" s="15"/>
      <c r="X85" s="15"/>
      <c r="Y85" s="15"/>
      <c r="Z85" s="15"/>
      <c r="AA85" s="15"/>
      <c r="AB85" s="15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14.25">
      <c r="A86" s="35">
        <f t="shared" si="8"/>
        <v>68</v>
      </c>
      <c r="B86" s="20" t="s">
        <v>493</v>
      </c>
      <c r="C86" s="15">
        <f t="shared" si="9"/>
        <v>0</v>
      </c>
      <c r="D86" s="15">
        <f t="shared" si="7"/>
        <v>0</v>
      </c>
      <c r="E86" s="15"/>
      <c r="F86" s="15"/>
      <c r="G86" s="15">
        <f t="shared" si="6"/>
        <v>0</v>
      </c>
      <c r="H86" s="15"/>
      <c r="I86" s="15">
        <f t="shared" si="5"/>
        <v>0</v>
      </c>
      <c r="J86" s="15">
        <f t="shared" si="5"/>
        <v>0</v>
      </c>
      <c r="K86" s="15">
        <f t="shared" si="5"/>
        <v>0</v>
      </c>
      <c r="L86" s="15">
        <f t="shared" si="5"/>
        <v>0</v>
      </c>
      <c r="M86" s="15"/>
      <c r="N86" s="15">
        <v>0</v>
      </c>
      <c r="O86" s="89">
        <v>0</v>
      </c>
      <c r="P86" s="15">
        <v>0</v>
      </c>
      <c r="Q86" s="15">
        <v>0</v>
      </c>
      <c r="R86" s="15"/>
      <c r="S86" s="15">
        <v>0</v>
      </c>
      <c r="T86" s="15">
        <v>0</v>
      </c>
      <c r="U86" s="15">
        <v>0</v>
      </c>
      <c r="V86" s="15">
        <v>0</v>
      </c>
      <c r="W86" s="15"/>
      <c r="X86" s="15"/>
      <c r="Y86" s="15"/>
      <c r="Z86" s="15"/>
      <c r="AA86" s="15"/>
      <c r="AB86" s="15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ht="14.25">
      <c r="A87" s="35">
        <f t="shared" si="8"/>
        <v>69</v>
      </c>
      <c r="B87" s="20" t="s">
        <v>494</v>
      </c>
      <c r="C87" s="15">
        <f t="shared" si="9"/>
        <v>1950080.33</v>
      </c>
      <c r="D87" s="15">
        <f t="shared" si="7"/>
        <v>2279671.45</v>
      </c>
      <c r="E87" s="15"/>
      <c r="F87" s="15"/>
      <c r="G87" s="15">
        <f t="shared" si="6"/>
        <v>2114876</v>
      </c>
      <c r="H87" s="15"/>
      <c r="I87" s="15">
        <f aca="true" t="shared" si="10" ref="I87:L115">(+N87+S87)/2</f>
        <v>0</v>
      </c>
      <c r="J87" s="15">
        <f t="shared" si="10"/>
        <v>0</v>
      </c>
      <c r="K87" s="15">
        <f t="shared" si="10"/>
        <v>2114875.89</v>
      </c>
      <c r="L87" s="15">
        <f t="shared" si="10"/>
        <v>0</v>
      </c>
      <c r="M87" s="15"/>
      <c r="N87" s="15">
        <v>0</v>
      </c>
      <c r="O87" s="89">
        <v>0</v>
      </c>
      <c r="P87" s="15">
        <v>1950080.33</v>
      </c>
      <c r="Q87" s="15">
        <v>0</v>
      </c>
      <c r="R87" s="15"/>
      <c r="S87" s="15">
        <v>0</v>
      </c>
      <c r="T87" s="15">
        <v>0</v>
      </c>
      <c r="U87" s="15">
        <v>2279671.45</v>
      </c>
      <c r="V87" s="15">
        <v>0</v>
      </c>
      <c r="W87" s="15"/>
      <c r="X87" s="15"/>
      <c r="Y87" s="15"/>
      <c r="Z87" s="15"/>
      <c r="AA87" s="15"/>
      <c r="AB87" s="15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ht="14.25">
      <c r="A88" s="35">
        <f t="shared" si="8"/>
        <v>70</v>
      </c>
      <c r="B88" s="15" t="s">
        <v>175</v>
      </c>
      <c r="C88" s="15">
        <f t="shared" si="9"/>
        <v>89354.54999999999</v>
      </c>
      <c r="D88" s="15">
        <f t="shared" si="7"/>
        <v>40700.37</v>
      </c>
      <c r="E88" s="15"/>
      <c r="F88" s="15"/>
      <c r="G88" s="15">
        <f t="shared" si="6"/>
        <v>65027</v>
      </c>
      <c r="H88" s="15"/>
      <c r="I88" s="15">
        <f t="shared" si="10"/>
        <v>0</v>
      </c>
      <c r="J88" s="15">
        <f t="shared" si="10"/>
        <v>-544.315</v>
      </c>
      <c r="K88" s="15">
        <f t="shared" si="10"/>
        <v>65571.775</v>
      </c>
      <c r="L88" s="15">
        <f t="shared" si="10"/>
        <v>0</v>
      </c>
      <c r="M88" s="15"/>
      <c r="N88" s="15">
        <v>0</v>
      </c>
      <c r="O88" s="57">
        <v>-1170.99</v>
      </c>
      <c r="P88" s="15">
        <v>90525.54</v>
      </c>
      <c r="Q88" s="15">
        <v>0</v>
      </c>
      <c r="R88" s="15"/>
      <c r="S88" s="15">
        <v>0</v>
      </c>
      <c r="T88" s="15">
        <v>82.36</v>
      </c>
      <c r="U88" s="15">
        <v>40618.01</v>
      </c>
      <c r="V88" s="15">
        <v>0</v>
      </c>
      <c r="W88" s="15"/>
      <c r="X88" s="15"/>
      <c r="Y88" s="15"/>
      <c r="Z88" s="15"/>
      <c r="AA88" s="15"/>
      <c r="AB88" s="15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14.25">
      <c r="A89" s="35">
        <f t="shared" si="8"/>
        <v>71</v>
      </c>
      <c r="B89" s="15" t="s">
        <v>334</v>
      </c>
      <c r="C89" s="15">
        <f t="shared" si="9"/>
        <v>-94.5</v>
      </c>
      <c r="D89" s="15">
        <f t="shared" si="7"/>
        <v>-78.05</v>
      </c>
      <c r="E89" s="15"/>
      <c r="F89" s="15"/>
      <c r="G89" s="15">
        <f t="shared" si="6"/>
        <v>-86</v>
      </c>
      <c r="H89" s="15"/>
      <c r="I89" s="15">
        <f t="shared" si="10"/>
        <v>0</v>
      </c>
      <c r="J89" s="15">
        <f t="shared" si="10"/>
        <v>-94.5</v>
      </c>
      <c r="K89" s="15">
        <f t="shared" si="10"/>
        <v>8.225</v>
      </c>
      <c r="L89" s="15">
        <f t="shared" si="10"/>
        <v>0</v>
      </c>
      <c r="M89" s="15"/>
      <c r="N89" s="15">
        <v>0</v>
      </c>
      <c r="O89" s="57">
        <v>-94.5</v>
      </c>
      <c r="P89" s="15">
        <v>0</v>
      </c>
      <c r="Q89" s="15">
        <v>0</v>
      </c>
      <c r="R89" s="15"/>
      <c r="S89" s="15">
        <v>0</v>
      </c>
      <c r="T89" s="15">
        <v>-94.5</v>
      </c>
      <c r="U89" s="15">
        <v>16.45</v>
      </c>
      <c r="V89" s="15">
        <v>0</v>
      </c>
      <c r="W89" s="15"/>
      <c r="X89" s="15"/>
      <c r="Y89" s="15"/>
      <c r="Z89" s="15"/>
      <c r="AA89" s="15"/>
      <c r="AB89" s="15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4.25">
      <c r="A90" s="35">
        <f t="shared" si="8"/>
        <v>72</v>
      </c>
      <c r="B90" s="20" t="s">
        <v>495</v>
      </c>
      <c r="C90" s="15">
        <f t="shared" si="9"/>
        <v>0</v>
      </c>
      <c r="D90" s="15">
        <f t="shared" si="7"/>
        <v>0</v>
      </c>
      <c r="E90" s="15"/>
      <c r="F90" s="15"/>
      <c r="G90" s="15">
        <f t="shared" si="6"/>
        <v>0</v>
      </c>
      <c r="H90" s="15"/>
      <c r="I90" s="15">
        <f t="shared" si="10"/>
        <v>0</v>
      </c>
      <c r="J90" s="15">
        <f t="shared" si="10"/>
        <v>0</v>
      </c>
      <c r="K90" s="15">
        <f t="shared" si="10"/>
        <v>0</v>
      </c>
      <c r="L90" s="15">
        <f t="shared" si="10"/>
        <v>0</v>
      </c>
      <c r="M90" s="15"/>
      <c r="N90" s="15">
        <v>0</v>
      </c>
      <c r="O90" s="57">
        <v>0</v>
      </c>
      <c r="P90" s="15">
        <v>0</v>
      </c>
      <c r="Q90" s="15">
        <v>0</v>
      </c>
      <c r="R90" s="15"/>
      <c r="S90" s="15">
        <v>0</v>
      </c>
      <c r="T90" s="15">
        <v>0</v>
      </c>
      <c r="U90" s="15">
        <v>0</v>
      </c>
      <c r="V90" s="15">
        <v>0</v>
      </c>
      <c r="W90" s="15"/>
      <c r="X90" s="15"/>
      <c r="Y90" s="15"/>
      <c r="Z90" s="15"/>
      <c r="AA90" s="15"/>
      <c r="AB90" s="15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14.25">
      <c r="A91" s="35">
        <f t="shared" si="8"/>
        <v>73</v>
      </c>
      <c r="B91" s="15" t="s">
        <v>177</v>
      </c>
      <c r="C91" s="15">
        <f t="shared" si="9"/>
        <v>-7882778.34</v>
      </c>
      <c r="D91" s="15">
        <f t="shared" si="7"/>
        <v>-4231452.69</v>
      </c>
      <c r="E91" s="15"/>
      <c r="F91" s="15"/>
      <c r="G91" s="15">
        <f t="shared" si="6"/>
        <v>-6057116</v>
      </c>
      <c r="H91" s="15"/>
      <c r="I91" s="15">
        <f t="shared" si="10"/>
        <v>0</v>
      </c>
      <c r="J91" s="15">
        <f t="shared" si="10"/>
        <v>-1210155.42</v>
      </c>
      <c r="K91" s="15">
        <f t="shared" si="10"/>
        <v>-4846960.095000001</v>
      </c>
      <c r="L91" s="15">
        <f t="shared" si="10"/>
        <v>0</v>
      </c>
      <c r="M91" s="15"/>
      <c r="N91" s="15">
        <v>0</v>
      </c>
      <c r="O91" s="57">
        <v>-1424286.52</v>
      </c>
      <c r="P91" s="15">
        <v>-6458491.82</v>
      </c>
      <c r="Q91" s="15">
        <v>0</v>
      </c>
      <c r="R91" s="15"/>
      <c r="S91" s="15">
        <v>0</v>
      </c>
      <c r="T91" s="15">
        <v>-996024.32</v>
      </c>
      <c r="U91" s="15">
        <v>-3235428.37</v>
      </c>
      <c r="V91" s="15">
        <v>0</v>
      </c>
      <c r="W91" s="15"/>
      <c r="X91" s="15"/>
      <c r="Y91" s="15"/>
      <c r="Z91" s="15"/>
      <c r="AA91" s="15"/>
      <c r="AB91" s="15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14.25">
      <c r="A92" s="35">
        <f t="shared" si="8"/>
        <v>74</v>
      </c>
      <c r="B92" s="20" t="s">
        <v>496</v>
      </c>
      <c r="C92" s="15">
        <f t="shared" si="9"/>
        <v>-11104273.71</v>
      </c>
      <c r="D92" s="15">
        <f t="shared" si="7"/>
        <v>-13823555.29</v>
      </c>
      <c r="E92" s="15"/>
      <c r="F92" s="15"/>
      <c r="G92" s="15">
        <f t="shared" si="6"/>
        <v>-12463915</v>
      </c>
      <c r="H92" s="15"/>
      <c r="I92" s="15">
        <f t="shared" si="10"/>
        <v>0</v>
      </c>
      <c r="J92" s="15">
        <f t="shared" si="10"/>
        <v>-1477609.47</v>
      </c>
      <c r="K92" s="15">
        <f t="shared" si="10"/>
        <v>-10986305.030000001</v>
      </c>
      <c r="L92" s="15">
        <f t="shared" si="10"/>
        <v>0</v>
      </c>
      <c r="M92" s="15"/>
      <c r="N92" s="15">
        <v>0</v>
      </c>
      <c r="O92" s="57">
        <v>-1110965.65</v>
      </c>
      <c r="P92" s="15">
        <v>-9993308.06</v>
      </c>
      <c r="Q92" s="15">
        <v>0</v>
      </c>
      <c r="R92" s="15"/>
      <c r="S92" s="15">
        <v>0</v>
      </c>
      <c r="T92" s="15">
        <v>-1844253.29</v>
      </c>
      <c r="U92" s="15">
        <v>-11979302</v>
      </c>
      <c r="V92" s="15">
        <v>0</v>
      </c>
      <c r="W92" s="15"/>
      <c r="X92" s="15"/>
      <c r="Y92" s="15"/>
      <c r="Z92" s="15"/>
      <c r="AA92" s="15"/>
      <c r="AB92" s="15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14.25">
      <c r="A93" s="35">
        <f t="shared" si="8"/>
        <v>75</v>
      </c>
      <c r="B93" s="15" t="s">
        <v>180</v>
      </c>
      <c r="C93" s="15">
        <f t="shared" si="9"/>
        <v>2148715.42</v>
      </c>
      <c r="D93" s="15">
        <f t="shared" si="7"/>
        <v>2169133.42</v>
      </c>
      <c r="E93" s="15"/>
      <c r="F93" s="15"/>
      <c r="G93" s="15">
        <f t="shared" si="6"/>
        <v>2158924</v>
      </c>
      <c r="H93" s="15"/>
      <c r="I93" s="15">
        <f t="shared" si="10"/>
        <v>0</v>
      </c>
      <c r="J93" s="15">
        <f t="shared" si="10"/>
        <v>271848</v>
      </c>
      <c r="K93" s="15">
        <f t="shared" si="10"/>
        <v>1887076.42</v>
      </c>
      <c r="L93" s="15">
        <f t="shared" si="10"/>
        <v>0</v>
      </c>
      <c r="M93" s="15"/>
      <c r="N93" s="15">
        <v>0</v>
      </c>
      <c r="O93" s="57">
        <v>215665</v>
      </c>
      <c r="P93" s="15">
        <v>1933050.42</v>
      </c>
      <c r="Q93" s="15">
        <v>0</v>
      </c>
      <c r="R93" s="15"/>
      <c r="S93" s="15">
        <v>0</v>
      </c>
      <c r="T93" s="15">
        <v>328031</v>
      </c>
      <c r="U93" s="15">
        <v>1841102.42</v>
      </c>
      <c r="V93" s="15">
        <v>0</v>
      </c>
      <c r="W93" s="15"/>
      <c r="X93" s="15"/>
      <c r="Y93" s="15"/>
      <c r="Z93" s="15"/>
      <c r="AA93" s="15"/>
      <c r="AB93" s="15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14.25">
      <c r="A94" s="35">
        <f t="shared" si="8"/>
        <v>76</v>
      </c>
      <c r="B94" s="20" t="s">
        <v>398</v>
      </c>
      <c r="C94" s="15">
        <f t="shared" si="9"/>
        <v>476351.77</v>
      </c>
      <c r="D94" s="15">
        <f t="shared" si="7"/>
        <v>273972.45</v>
      </c>
      <c r="E94" s="15"/>
      <c r="F94" s="15"/>
      <c r="G94" s="15">
        <f t="shared" si="6"/>
        <v>375162</v>
      </c>
      <c r="H94" s="15"/>
      <c r="I94" s="15">
        <f t="shared" si="10"/>
        <v>0</v>
      </c>
      <c r="J94" s="15">
        <f t="shared" si="10"/>
        <v>9393.355</v>
      </c>
      <c r="K94" s="15">
        <f t="shared" si="10"/>
        <v>365768.755</v>
      </c>
      <c r="L94" s="15">
        <f t="shared" si="10"/>
        <v>0</v>
      </c>
      <c r="M94" s="15"/>
      <c r="N94" s="15">
        <v>0</v>
      </c>
      <c r="O94" s="57">
        <v>9683.69</v>
      </c>
      <c r="P94" s="15">
        <v>466668.08</v>
      </c>
      <c r="Q94" s="15">
        <v>0</v>
      </c>
      <c r="R94" s="15"/>
      <c r="S94" s="15">
        <v>0</v>
      </c>
      <c r="T94" s="15">
        <v>9103.02</v>
      </c>
      <c r="U94" s="15">
        <v>264869.43</v>
      </c>
      <c r="V94" s="15">
        <v>0</v>
      </c>
      <c r="W94" s="15"/>
      <c r="X94" s="15"/>
      <c r="Y94" s="15"/>
      <c r="Z94" s="15"/>
      <c r="AA94" s="15"/>
      <c r="AB94" s="15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14.25">
      <c r="A95" s="35">
        <f t="shared" si="8"/>
        <v>77</v>
      </c>
      <c r="B95" s="20" t="s">
        <v>497</v>
      </c>
      <c r="C95" s="15">
        <f t="shared" si="9"/>
        <v>0</v>
      </c>
      <c r="D95" s="15">
        <f t="shared" si="7"/>
        <v>0</v>
      </c>
      <c r="E95" s="15"/>
      <c r="F95" s="15"/>
      <c r="G95" s="15">
        <f t="shared" si="6"/>
        <v>0</v>
      </c>
      <c r="H95" s="15"/>
      <c r="I95" s="15">
        <f t="shared" si="10"/>
        <v>0</v>
      </c>
      <c r="J95" s="15">
        <f t="shared" si="10"/>
        <v>0</v>
      </c>
      <c r="K95" s="15">
        <f t="shared" si="10"/>
        <v>0</v>
      </c>
      <c r="L95" s="15">
        <f t="shared" si="10"/>
        <v>0</v>
      </c>
      <c r="M95" s="15"/>
      <c r="N95" s="15">
        <v>0</v>
      </c>
      <c r="O95" s="89">
        <v>0</v>
      </c>
      <c r="P95" s="15">
        <v>0</v>
      </c>
      <c r="Q95" s="15">
        <v>0</v>
      </c>
      <c r="R95" s="15"/>
      <c r="S95" s="15">
        <v>0</v>
      </c>
      <c r="T95" s="15">
        <v>0</v>
      </c>
      <c r="U95" s="15">
        <v>0</v>
      </c>
      <c r="V95" s="15">
        <v>0</v>
      </c>
      <c r="W95" s="15"/>
      <c r="X95" s="15"/>
      <c r="Y95" s="15"/>
      <c r="Z95" s="15"/>
      <c r="AA95" s="15"/>
      <c r="AB95" s="15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14.25">
      <c r="A96" s="35">
        <f t="shared" si="8"/>
        <v>78</v>
      </c>
      <c r="B96" s="20" t="s">
        <v>498</v>
      </c>
      <c r="C96" s="15">
        <f t="shared" si="9"/>
        <v>0</v>
      </c>
      <c r="D96" s="15">
        <f t="shared" si="7"/>
        <v>0</v>
      </c>
      <c r="E96" s="15"/>
      <c r="F96" s="15"/>
      <c r="G96" s="15">
        <f t="shared" si="6"/>
        <v>0</v>
      </c>
      <c r="H96" s="15"/>
      <c r="I96" s="15">
        <f t="shared" si="10"/>
        <v>0</v>
      </c>
      <c r="J96" s="15">
        <f t="shared" si="10"/>
        <v>0</v>
      </c>
      <c r="K96" s="15">
        <f t="shared" si="10"/>
        <v>0</v>
      </c>
      <c r="L96" s="15">
        <f t="shared" si="10"/>
        <v>0</v>
      </c>
      <c r="M96" s="15"/>
      <c r="N96" s="15">
        <v>0</v>
      </c>
      <c r="O96" s="89">
        <v>0</v>
      </c>
      <c r="P96" s="15">
        <v>0</v>
      </c>
      <c r="Q96" s="15">
        <v>0</v>
      </c>
      <c r="R96" s="15"/>
      <c r="S96" s="15">
        <v>0</v>
      </c>
      <c r="T96" s="15">
        <v>0</v>
      </c>
      <c r="U96" s="15">
        <v>0</v>
      </c>
      <c r="V96" s="15">
        <v>0</v>
      </c>
      <c r="W96" s="15"/>
      <c r="X96" s="15"/>
      <c r="Y96" s="15"/>
      <c r="Z96" s="15"/>
      <c r="AA96" s="15"/>
      <c r="AB96" s="15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14.25">
      <c r="A97" s="35">
        <f t="shared" si="8"/>
        <v>79</v>
      </c>
      <c r="B97" s="20" t="s">
        <v>499</v>
      </c>
      <c r="C97" s="15">
        <f>SUM(N97:Q97)</f>
        <v>0</v>
      </c>
      <c r="D97" s="15">
        <f>SUM(S97:V97)</f>
        <v>0</v>
      </c>
      <c r="E97" s="15"/>
      <c r="F97" s="15"/>
      <c r="G97" s="15">
        <f>ROUND(SUM(C97:F97)/2,0)</f>
        <v>0</v>
      </c>
      <c r="H97" s="15"/>
      <c r="I97" s="15">
        <f>(+N97+S97)/2</f>
        <v>0</v>
      </c>
      <c r="J97" s="15">
        <f>(+O97+T97)/2</f>
        <v>0</v>
      </c>
      <c r="K97" s="15">
        <f>(+P97+U97)/2</f>
        <v>0</v>
      </c>
      <c r="L97" s="15">
        <f>(+Q97+V97)/2</f>
        <v>0</v>
      </c>
      <c r="M97" s="15"/>
      <c r="N97" s="15">
        <v>0</v>
      </c>
      <c r="O97" s="89">
        <v>0</v>
      </c>
      <c r="P97" s="15">
        <v>0</v>
      </c>
      <c r="Q97" s="15">
        <v>0</v>
      </c>
      <c r="R97" s="15"/>
      <c r="S97" s="15">
        <v>0</v>
      </c>
      <c r="T97" s="15">
        <v>0</v>
      </c>
      <c r="U97" s="15">
        <v>0</v>
      </c>
      <c r="V97" s="15">
        <v>0</v>
      </c>
      <c r="W97" s="15"/>
      <c r="X97" s="15"/>
      <c r="Y97" s="15"/>
      <c r="Z97" s="15"/>
      <c r="AA97" s="15"/>
      <c r="AB97" s="15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14.25">
      <c r="A98" s="35">
        <f t="shared" si="8"/>
        <v>80</v>
      </c>
      <c r="B98" s="20" t="s">
        <v>500</v>
      </c>
      <c r="C98" s="15">
        <f t="shared" si="9"/>
        <v>0</v>
      </c>
      <c r="D98" s="15">
        <f t="shared" si="7"/>
        <v>37481.73</v>
      </c>
      <c r="E98" s="15"/>
      <c r="F98" s="15"/>
      <c r="G98" s="15">
        <f t="shared" si="6"/>
        <v>18741</v>
      </c>
      <c r="H98" s="15"/>
      <c r="I98" s="15">
        <f t="shared" si="10"/>
        <v>0</v>
      </c>
      <c r="J98" s="15">
        <f t="shared" si="10"/>
        <v>0</v>
      </c>
      <c r="K98" s="15">
        <f t="shared" si="10"/>
        <v>18740.865</v>
      </c>
      <c r="L98" s="15">
        <f t="shared" si="10"/>
        <v>0</v>
      </c>
      <c r="M98" s="15"/>
      <c r="N98" s="15">
        <v>0</v>
      </c>
      <c r="O98" s="89">
        <v>0</v>
      </c>
      <c r="P98" s="15">
        <v>0</v>
      </c>
      <c r="Q98" s="15">
        <v>0</v>
      </c>
      <c r="R98" s="15"/>
      <c r="S98" s="15">
        <v>0</v>
      </c>
      <c r="T98" s="15">
        <v>0</v>
      </c>
      <c r="U98" s="15">
        <v>37481.73</v>
      </c>
      <c r="V98" s="15">
        <v>0</v>
      </c>
      <c r="W98" s="15"/>
      <c r="X98" s="15"/>
      <c r="Y98" s="15"/>
      <c r="Z98" s="15"/>
      <c r="AA98" s="15"/>
      <c r="AB98" s="15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14.25">
      <c r="A99" s="35">
        <f t="shared" si="8"/>
        <v>81</v>
      </c>
      <c r="B99" s="20" t="s">
        <v>186</v>
      </c>
      <c r="C99" s="15">
        <f t="shared" si="9"/>
        <v>-41226.84</v>
      </c>
      <c r="D99" s="15">
        <f t="shared" si="7"/>
        <v>-41227</v>
      </c>
      <c r="E99" s="15"/>
      <c r="F99" s="15"/>
      <c r="G99" s="15">
        <f t="shared" si="6"/>
        <v>-41227</v>
      </c>
      <c r="H99" s="15"/>
      <c r="I99" s="15">
        <f t="shared" si="10"/>
        <v>0</v>
      </c>
      <c r="J99" s="15">
        <f t="shared" si="10"/>
        <v>0</v>
      </c>
      <c r="K99" s="15">
        <f t="shared" si="10"/>
        <v>-41226.92</v>
      </c>
      <c r="L99" s="15">
        <f t="shared" si="10"/>
        <v>0</v>
      </c>
      <c r="M99" s="15"/>
      <c r="N99" s="15">
        <v>0</v>
      </c>
      <c r="O99" s="89">
        <f>-244055+244055</f>
        <v>0</v>
      </c>
      <c r="P99" s="15">
        <v>-41226.84</v>
      </c>
      <c r="Q99" s="15">
        <v>0</v>
      </c>
      <c r="R99" s="15"/>
      <c r="S99" s="15">
        <v>0</v>
      </c>
      <c r="T99" s="15">
        <f>-244055+244055</f>
        <v>0</v>
      </c>
      <c r="U99" s="15">
        <f>-1374997+1333770</f>
        <v>-41227</v>
      </c>
      <c r="V99" s="15">
        <v>0</v>
      </c>
      <c r="W99" s="15"/>
      <c r="X99" s="15"/>
      <c r="Y99" s="15"/>
      <c r="Z99" s="15"/>
      <c r="AA99" s="15"/>
      <c r="AB99" s="15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ht="14.25">
      <c r="A100" s="35">
        <f t="shared" si="8"/>
        <v>82</v>
      </c>
      <c r="B100" s="20" t="s">
        <v>187</v>
      </c>
      <c r="C100" s="15">
        <f t="shared" si="9"/>
        <v>0</v>
      </c>
      <c r="D100" s="15">
        <f t="shared" si="7"/>
        <v>0</v>
      </c>
      <c r="E100" s="15"/>
      <c r="F100" s="15"/>
      <c r="G100" s="15">
        <f t="shared" si="6"/>
        <v>0</v>
      </c>
      <c r="H100" s="15"/>
      <c r="I100" s="15">
        <f t="shared" si="10"/>
        <v>0</v>
      </c>
      <c r="J100" s="15">
        <f t="shared" si="10"/>
        <v>0</v>
      </c>
      <c r="K100" s="15">
        <f t="shared" si="10"/>
        <v>0</v>
      </c>
      <c r="L100" s="15">
        <f t="shared" si="10"/>
        <v>0</v>
      </c>
      <c r="M100" s="15"/>
      <c r="N100" s="15">
        <v>0</v>
      </c>
      <c r="O100" s="89"/>
      <c r="P100" s="15">
        <v>0</v>
      </c>
      <c r="Q100" s="15">
        <v>0</v>
      </c>
      <c r="R100" s="15"/>
      <c r="S100" s="15">
        <v>0</v>
      </c>
      <c r="T100" s="15">
        <v>0</v>
      </c>
      <c r="U100" s="15">
        <v>0</v>
      </c>
      <c r="V100" s="15">
        <v>0</v>
      </c>
      <c r="W100" s="15"/>
      <c r="X100" s="15"/>
      <c r="Y100" s="15"/>
      <c r="Z100" s="15"/>
      <c r="AA100" s="15"/>
      <c r="AB100" s="15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14.25">
      <c r="A101" s="35">
        <f t="shared" si="8"/>
        <v>83</v>
      </c>
      <c r="B101" s="20" t="s">
        <v>501</v>
      </c>
      <c r="C101" s="15">
        <f t="shared" si="9"/>
        <v>2402750</v>
      </c>
      <c r="D101" s="15">
        <f t="shared" si="7"/>
        <v>183144.6499999999</v>
      </c>
      <c r="E101" s="15"/>
      <c r="F101" s="15"/>
      <c r="G101" s="15">
        <f t="shared" si="6"/>
        <v>1292947</v>
      </c>
      <c r="H101" s="15"/>
      <c r="I101" s="15">
        <f t="shared" si="10"/>
        <v>0</v>
      </c>
      <c r="J101" s="15">
        <f t="shared" si="10"/>
        <v>-112.875</v>
      </c>
      <c r="K101" s="15">
        <f t="shared" si="10"/>
        <v>1293060.2</v>
      </c>
      <c r="L101" s="15">
        <f t="shared" si="10"/>
        <v>0</v>
      </c>
      <c r="M101" s="15"/>
      <c r="N101" s="15">
        <v>0</v>
      </c>
      <c r="O101" s="89">
        <f>-320188+320188</f>
        <v>0</v>
      </c>
      <c r="P101" s="15">
        <v>2402750</v>
      </c>
      <c r="Q101" s="15">
        <v>0</v>
      </c>
      <c r="R101" s="15"/>
      <c r="S101" s="15">
        <v>0</v>
      </c>
      <c r="T101" s="15">
        <f>-320413.75+320188</f>
        <v>-225.75</v>
      </c>
      <c r="U101" s="15">
        <f>-629772.6+812726-2765244+2765661</f>
        <v>183370.3999999999</v>
      </c>
      <c r="V101" s="15">
        <v>0</v>
      </c>
      <c r="W101" s="15"/>
      <c r="X101" s="15"/>
      <c r="Y101" s="15"/>
      <c r="Z101" s="15"/>
      <c r="AA101" s="15"/>
      <c r="AB101" s="15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ht="14.25">
      <c r="A102" s="35">
        <f t="shared" si="8"/>
        <v>84</v>
      </c>
      <c r="B102" s="20" t="s">
        <v>502</v>
      </c>
      <c r="C102" s="15">
        <f t="shared" si="9"/>
        <v>21245.35</v>
      </c>
      <c r="D102" s="15">
        <f t="shared" si="7"/>
        <v>226441.75</v>
      </c>
      <c r="E102" s="15"/>
      <c r="F102" s="15"/>
      <c r="G102" s="15">
        <f t="shared" si="6"/>
        <v>123844</v>
      </c>
      <c r="H102" s="15"/>
      <c r="I102" s="15">
        <f t="shared" si="10"/>
        <v>0</v>
      </c>
      <c r="J102" s="15">
        <f t="shared" si="10"/>
        <v>2917.425</v>
      </c>
      <c r="K102" s="15">
        <f t="shared" si="10"/>
        <v>120926.125</v>
      </c>
      <c r="L102" s="15">
        <f t="shared" si="10"/>
        <v>0</v>
      </c>
      <c r="M102" s="15"/>
      <c r="N102" s="15">
        <v>0</v>
      </c>
      <c r="O102" s="89">
        <v>607.25</v>
      </c>
      <c r="P102" s="15">
        <v>20638.1</v>
      </c>
      <c r="Q102" s="15">
        <v>0</v>
      </c>
      <c r="R102" s="15"/>
      <c r="S102" s="15">
        <v>0</v>
      </c>
      <c r="T102" s="15">
        <v>5227.6</v>
      </c>
      <c r="U102" s="15">
        <f>200847.15+20367</f>
        <v>221214.15</v>
      </c>
      <c r="V102" s="15">
        <v>0</v>
      </c>
      <c r="W102" s="15"/>
      <c r="X102" s="15"/>
      <c r="Y102" s="15"/>
      <c r="Z102" s="15"/>
      <c r="AA102" s="15"/>
      <c r="AB102" s="15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ht="14.25">
      <c r="A103" s="35">
        <f t="shared" si="8"/>
        <v>85</v>
      </c>
      <c r="B103" s="20" t="s">
        <v>503</v>
      </c>
      <c r="C103" s="15">
        <f t="shared" si="9"/>
        <v>0</v>
      </c>
      <c r="D103" s="15">
        <f t="shared" si="7"/>
        <v>-1837.5</v>
      </c>
      <c r="E103" s="15"/>
      <c r="F103" s="15"/>
      <c r="G103" s="15">
        <f>ROUND(SUM(C103:F103)/2,0)</f>
        <v>-919</v>
      </c>
      <c r="H103" s="15"/>
      <c r="I103" s="15">
        <f t="shared" si="10"/>
        <v>0</v>
      </c>
      <c r="J103" s="15">
        <f t="shared" si="10"/>
        <v>0</v>
      </c>
      <c r="K103" s="15">
        <f t="shared" si="10"/>
        <v>-918.75</v>
      </c>
      <c r="L103" s="15">
        <f t="shared" si="10"/>
        <v>0</v>
      </c>
      <c r="M103" s="15"/>
      <c r="N103" s="15">
        <v>0</v>
      </c>
      <c r="O103" s="89">
        <v>0</v>
      </c>
      <c r="P103" s="15">
        <v>0</v>
      </c>
      <c r="Q103" s="15">
        <v>0</v>
      </c>
      <c r="R103" s="15"/>
      <c r="S103" s="15">
        <v>0</v>
      </c>
      <c r="T103" s="15">
        <v>0</v>
      </c>
      <c r="U103" s="15">
        <v>-1837.5</v>
      </c>
      <c r="V103" s="15">
        <v>0</v>
      </c>
      <c r="W103" s="15"/>
      <c r="X103" s="15"/>
      <c r="Y103" s="15"/>
      <c r="Z103" s="15"/>
      <c r="AA103" s="15"/>
      <c r="AB103" s="15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ht="14.25">
      <c r="A104" s="35">
        <f t="shared" si="8"/>
        <v>86</v>
      </c>
      <c r="B104" s="20" t="s">
        <v>504</v>
      </c>
      <c r="C104" s="15">
        <f t="shared" si="9"/>
        <v>0</v>
      </c>
      <c r="D104" s="15">
        <f t="shared" si="7"/>
        <v>0</v>
      </c>
      <c r="E104" s="15"/>
      <c r="F104" s="15"/>
      <c r="G104" s="15">
        <f t="shared" si="6"/>
        <v>0</v>
      </c>
      <c r="H104" s="15"/>
      <c r="I104" s="15">
        <f t="shared" si="10"/>
        <v>0</v>
      </c>
      <c r="J104" s="15">
        <f t="shared" si="10"/>
        <v>0</v>
      </c>
      <c r="K104" s="15">
        <f t="shared" si="10"/>
        <v>0</v>
      </c>
      <c r="L104" s="15">
        <f t="shared" si="10"/>
        <v>0</v>
      </c>
      <c r="M104" s="15"/>
      <c r="N104" s="15">
        <v>0</v>
      </c>
      <c r="O104" s="89">
        <v>0</v>
      </c>
      <c r="P104" s="15">
        <v>0</v>
      </c>
      <c r="Q104" s="15">
        <v>0</v>
      </c>
      <c r="R104" s="15"/>
      <c r="S104" s="15">
        <v>0</v>
      </c>
      <c r="T104" s="15">
        <v>0</v>
      </c>
      <c r="U104" s="15">
        <v>0</v>
      </c>
      <c r="V104" s="15">
        <v>0</v>
      </c>
      <c r="W104" s="15"/>
      <c r="X104" s="15"/>
      <c r="Y104" s="15"/>
      <c r="Z104" s="15"/>
      <c r="AA104" s="15"/>
      <c r="AB104" s="15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ht="14.25">
      <c r="A105" s="35">
        <f t="shared" si="8"/>
        <v>87</v>
      </c>
      <c r="B105" s="20" t="s">
        <v>505</v>
      </c>
      <c r="C105" s="15">
        <f t="shared" si="9"/>
        <v>0</v>
      </c>
      <c r="D105" s="15">
        <f t="shared" si="7"/>
        <v>0</v>
      </c>
      <c r="E105" s="15"/>
      <c r="F105" s="15"/>
      <c r="G105" s="15">
        <f t="shared" si="6"/>
        <v>0</v>
      </c>
      <c r="H105" s="15"/>
      <c r="I105" s="15">
        <f t="shared" si="10"/>
        <v>0</v>
      </c>
      <c r="J105" s="15">
        <f t="shared" si="10"/>
        <v>0</v>
      </c>
      <c r="K105" s="15">
        <f t="shared" si="10"/>
        <v>0</v>
      </c>
      <c r="L105" s="15">
        <f t="shared" si="10"/>
        <v>0</v>
      </c>
      <c r="M105" s="15"/>
      <c r="N105" s="15">
        <v>0</v>
      </c>
      <c r="O105" s="89">
        <v>0</v>
      </c>
      <c r="P105" s="15">
        <v>0</v>
      </c>
      <c r="Q105" s="15">
        <v>0</v>
      </c>
      <c r="R105" s="15"/>
      <c r="S105" s="15">
        <v>0</v>
      </c>
      <c r="T105" s="15">
        <v>0</v>
      </c>
      <c r="U105" s="15">
        <v>0</v>
      </c>
      <c r="V105" s="15">
        <v>0</v>
      </c>
      <c r="W105" s="15"/>
      <c r="X105" s="15"/>
      <c r="Y105" s="15"/>
      <c r="Z105" s="15"/>
      <c r="AA105" s="15"/>
      <c r="AB105" s="15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ht="14.25">
      <c r="A106" s="35">
        <f t="shared" si="8"/>
        <v>88</v>
      </c>
      <c r="B106" s="20" t="s">
        <v>506</v>
      </c>
      <c r="C106" s="15">
        <f t="shared" si="9"/>
        <v>0</v>
      </c>
      <c r="D106" s="15">
        <f t="shared" si="7"/>
        <v>0</v>
      </c>
      <c r="E106" s="15"/>
      <c r="F106" s="15"/>
      <c r="G106" s="15">
        <f>ROUND(SUM(C106:F106)/2,0)</f>
        <v>0</v>
      </c>
      <c r="H106" s="15"/>
      <c r="I106" s="15">
        <f t="shared" si="10"/>
        <v>0</v>
      </c>
      <c r="J106" s="15">
        <f t="shared" si="10"/>
        <v>0</v>
      </c>
      <c r="K106" s="15">
        <f t="shared" si="10"/>
        <v>0</v>
      </c>
      <c r="L106" s="15">
        <f t="shared" si="10"/>
        <v>0</v>
      </c>
      <c r="M106" s="15"/>
      <c r="N106" s="15">
        <v>0</v>
      </c>
      <c r="O106" s="89">
        <v>0</v>
      </c>
      <c r="P106" s="15">
        <v>0</v>
      </c>
      <c r="Q106" s="15">
        <v>0</v>
      </c>
      <c r="R106" s="15"/>
      <c r="S106" s="15">
        <v>0</v>
      </c>
      <c r="T106" s="15">
        <v>0</v>
      </c>
      <c r="U106" s="15">
        <v>0</v>
      </c>
      <c r="V106" s="15">
        <v>0</v>
      </c>
      <c r="W106" s="15"/>
      <c r="X106" s="15"/>
      <c r="Y106" s="15"/>
      <c r="Z106" s="15"/>
      <c r="AA106" s="15"/>
      <c r="AB106" s="15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ht="14.25">
      <c r="A107" s="35">
        <f t="shared" si="8"/>
        <v>89</v>
      </c>
      <c r="B107" s="20" t="s">
        <v>507</v>
      </c>
      <c r="C107" s="15">
        <f t="shared" si="9"/>
        <v>0</v>
      </c>
      <c r="D107" s="15">
        <f t="shared" si="7"/>
        <v>0</v>
      </c>
      <c r="E107" s="15"/>
      <c r="F107" s="15"/>
      <c r="G107" s="15">
        <f t="shared" si="6"/>
        <v>0</v>
      </c>
      <c r="H107" s="15"/>
      <c r="I107" s="15">
        <f t="shared" si="10"/>
        <v>0</v>
      </c>
      <c r="J107" s="15">
        <f t="shared" si="10"/>
        <v>0</v>
      </c>
      <c r="K107" s="15">
        <f t="shared" si="10"/>
        <v>0</v>
      </c>
      <c r="L107" s="15">
        <f t="shared" si="10"/>
        <v>0</v>
      </c>
      <c r="M107" s="15"/>
      <c r="N107" s="15">
        <v>0</v>
      </c>
      <c r="O107" s="89">
        <v>0</v>
      </c>
      <c r="P107" s="15">
        <v>0</v>
      </c>
      <c r="Q107" s="15">
        <v>0</v>
      </c>
      <c r="R107" s="15"/>
      <c r="S107" s="15">
        <v>0</v>
      </c>
      <c r="T107" s="15">
        <v>0</v>
      </c>
      <c r="U107" s="15">
        <v>0</v>
      </c>
      <c r="V107" s="15">
        <v>0</v>
      </c>
      <c r="W107" s="15"/>
      <c r="X107" s="15"/>
      <c r="Y107" s="15"/>
      <c r="Z107" s="15"/>
      <c r="AA107" s="15"/>
      <c r="AB107" s="15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ht="14.25">
      <c r="A108" s="35">
        <f t="shared" si="8"/>
        <v>90</v>
      </c>
      <c r="B108" s="20" t="s">
        <v>508</v>
      </c>
      <c r="C108" s="15">
        <f t="shared" si="9"/>
        <v>0</v>
      </c>
      <c r="D108" s="15">
        <f t="shared" si="7"/>
        <v>0</v>
      </c>
      <c r="E108" s="15"/>
      <c r="F108" s="15"/>
      <c r="G108" s="15">
        <f>ROUND(SUM(C108:F108)/2,0)</f>
        <v>0</v>
      </c>
      <c r="H108" s="15"/>
      <c r="I108" s="15">
        <f t="shared" si="10"/>
        <v>0</v>
      </c>
      <c r="J108" s="15">
        <f t="shared" si="10"/>
        <v>0</v>
      </c>
      <c r="K108" s="15">
        <f t="shared" si="10"/>
        <v>0</v>
      </c>
      <c r="L108" s="15">
        <f t="shared" si="10"/>
        <v>0</v>
      </c>
      <c r="M108" s="15"/>
      <c r="N108" s="15">
        <v>0</v>
      </c>
      <c r="O108" s="89">
        <v>0</v>
      </c>
      <c r="P108" s="15">
        <v>0</v>
      </c>
      <c r="Q108" s="15">
        <v>0</v>
      </c>
      <c r="R108" s="15"/>
      <c r="S108" s="15">
        <v>0</v>
      </c>
      <c r="T108" s="15">
        <v>0</v>
      </c>
      <c r="U108" s="15">
        <v>0</v>
      </c>
      <c r="V108" s="15">
        <v>0</v>
      </c>
      <c r="W108" s="15"/>
      <c r="X108" s="15"/>
      <c r="Y108" s="15"/>
      <c r="Z108" s="15"/>
      <c r="AA108" s="15"/>
      <c r="AB108" s="15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ht="14.25">
      <c r="A109" s="35">
        <f t="shared" si="8"/>
        <v>91</v>
      </c>
      <c r="B109" s="15" t="s">
        <v>509</v>
      </c>
      <c r="C109" s="15">
        <f t="shared" si="9"/>
        <v>0</v>
      </c>
      <c r="D109" s="15">
        <f t="shared" si="7"/>
        <v>0</v>
      </c>
      <c r="E109" s="15"/>
      <c r="F109" s="15"/>
      <c r="G109" s="15">
        <f>ROUND(SUM(C109:F109)/2,0)</f>
        <v>0</v>
      </c>
      <c r="H109" s="15"/>
      <c r="I109" s="15">
        <f t="shared" si="10"/>
        <v>0</v>
      </c>
      <c r="J109" s="15">
        <f t="shared" si="10"/>
        <v>0</v>
      </c>
      <c r="K109" s="15">
        <f t="shared" si="10"/>
        <v>0</v>
      </c>
      <c r="L109" s="15">
        <f t="shared" si="10"/>
        <v>0</v>
      </c>
      <c r="M109" s="15"/>
      <c r="N109" s="15">
        <v>0</v>
      </c>
      <c r="O109" s="89">
        <v>0</v>
      </c>
      <c r="P109" s="15">
        <v>0</v>
      </c>
      <c r="Q109" s="15">
        <v>0</v>
      </c>
      <c r="R109" s="15"/>
      <c r="S109" s="15">
        <v>0</v>
      </c>
      <c r="T109" s="15">
        <v>0</v>
      </c>
      <c r="U109" s="15">
        <v>0</v>
      </c>
      <c r="V109" s="15">
        <v>0</v>
      </c>
      <c r="W109" s="15"/>
      <c r="X109" s="15"/>
      <c r="Y109" s="15"/>
      <c r="Z109" s="15"/>
      <c r="AA109" s="15"/>
      <c r="AB109" s="15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ht="14.25">
      <c r="A110" s="35">
        <f t="shared" si="8"/>
        <v>92</v>
      </c>
      <c r="B110" s="20" t="s">
        <v>510</v>
      </c>
      <c r="C110" s="15">
        <f t="shared" si="9"/>
        <v>0</v>
      </c>
      <c r="D110" s="15">
        <f t="shared" si="7"/>
        <v>0</v>
      </c>
      <c r="E110" s="15"/>
      <c r="F110" s="15"/>
      <c r="G110" s="15">
        <f aca="true" t="shared" si="11" ref="G110:G115">ROUND(SUM(C110:F110)/2,0)</f>
        <v>0</v>
      </c>
      <c r="H110" s="15"/>
      <c r="I110" s="15">
        <f t="shared" si="10"/>
        <v>0</v>
      </c>
      <c r="J110" s="15">
        <f t="shared" si="10"/>
        <v>0</v>
      </c>
      <c r="K110" s="15">
        <f t="shared" si="10"/>
        <v>0</v>
      </c>
      <c r="L110" s="15">
        <f t="shared" si="10"/>
        <v>0</v>
      </c>
      <c r="M110" s="15"/>
      <c r="N110" s="15">
        <v>0</v>
      </c>
      <c r="O110" s="89">
        <v>0</v>
      </c>
      <c r="P110" s="15">
        <v>0</v>
      </c>
      <c r="Q110" s="15">
        <v>0</v>
      </c>
      <c r="R110" s="15"/>
      <c r="S110" s="15">
        <v>0</v>
      </c>
      <c r="T110" s="15">
        <v>0</v>
      </c>
      <c r="U110" s="15">
        <v>0</v>
      </c>
      <c r="V110" s="15">
        <v>0</v>
      </c>
      <c r="W110" s="15"/>
      <c r="X110" s="15"/>
      <c r="Y110" s="15"/>
      <c r="Z110" s="15"/>
      <c r="AA110" s="15"/>
      <c r="AB110" s="15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ht="14.25">
      <c r="A111" s="35">
        <f t="shared" si="8"/>
        <v>93</v>
      </c>
      <c r="B111" s="20" t="s">
        <v>511</v>
      </c>
      <c r="C111" s="15">
        <f t="shared" si="9"/>
        <v>1652678.45</v>
      </c>
      <c r="D111" s="15">
        <f t="shared" si="7"/>
        <v>1803584.45</v>
      </c>
      <c r="E111" s="15"/>
      <c r="F111" s="15"/>
      <c r="G111" s="15">
        <f t="shared" si="11"/>
        <v>1728131</v>
      </c>
      <c r="H111" s="15"/>
      <c r="I111" s="15">
        <f t="shared" si="10"/>
        <v>0</v>
      </c>
      <c r="J111" s="15">
        <f t="shared" si="10"/>
        <v>0</v>
      </c>
      <c r="K111" s="15">
        <f t="shared" si="10"/>
        <v>1728131.45</v>
      </c>
      <c r="L111" s="15">
        <f t="shared" si="10"/>
        <v>0</v>
      </c>
      <c r="M111" s="15"/>
      <c r="N111" s="15">
        <v>0</v>
      </c>
      <c r="O111" s="89">
        <v>0</v>
      </c>
      <c r="P111" s="15">
        <v>1652678.45</v>
      </c>
      <c r="Q111" s="15">
        <v>0</v>
      </c>
      <c r="R111" s="15"/>
      <c r="S111" s="15">
        <v>0</v>
      </c>
      <c r="T111" s="15">
        <v>0</v>
      </c>
      <c r="U111" s="15">
        <v>1803584.45</v>
      </c>
      <c r="V111" s="15">
        <v>0</v>
      </c>
      <c r="W111" s="15"/>
      <c r="X111" s="15"/>
      <c r="Y111" s="15"/>
      <c r="Z111" s="15"/>
      <c r="AA111" s="15"/>
      <c r="AB111" s="15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ht="14.25">
      <c r="A112" s="35">
        <f t="shared" si="8"/>
        <v>94</v>
      </c>
      <c r="B112" s="20" t="s">
        <v>413</v>
      </c>
      <c r="C112" s="15">
        <f t="shared" si="9"/>
        <v>7652301</v>
      </c>
      <c r="D112" s="15">
        <f t="shared" si="7"/>
        <v>2222301</v>
      </c>
      <c r="E112" s="15"/>
      <c r="F112" s="15"/>
      <c r="G112" s="15">
        <f t="shared" si="11"/>
        <v>4937301</v>
      </c>
      <c r="H112" s="15"/>
      <c r="I112" s="15">
        <f t="shared" si="10"/>
        <v>0</v>
      </c>
      <c r="J112" s="15">
        <f t="shared" si="10"/>
        <v>3655</v>
      </c>
      <c r="K112" s="15">
        <f t="shared" si="10"/>
        <v>4933646</v>
      </c>
      <c r="L112" s="15">
        <f t="shared" si="10"/>
        <v>0</v>
      </c>
      <c r="M112" s="15"/>
      <c r="N112" s="15">
        <v>0</v>
      </c>
      <c r="O112" s="89">
        <v>3655</v>
      </c>
      <c r="P112" s="15">
        <v>7648646</v>
      </c>
      <c r="Q112" s="15">
        <v>0</v>
      </c>
      <c r="R112" s="15"/>
      <c r="S112" s="15">
        <v>0</v>
      </c>
      <c r="T112" s="15">
        <v>3655</v>
      </c>
      <c r="U112" s="15">
        <v>2218646</v>
      </c>
      <c r="V112" s="15">
        <v>0</v>
      </c>
      <c r="W112" s="15"/>
      <c r="X112" s="15"/>
      <c r="Y112" s="15"/>
      <c r="Z112" s="15"/>
      <c r="AA112" s="15"/>
      <c r="AB112" s="15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4" ht="14.25">
      <c r="A113" s="35">
        <f t="shared" si="8"/>
        <v>95</v>
      </c>
      <c r="B113" s="15" t="s">
        <v>112</v>
      </c>
      <c r="C113" s="15">
        <f t="shared" si="9"/>
        <v>11475768.850000001</v>
      </c>
      <c r="D113" s="15">
        <f t="shared" si="7"/>
        <v>9409534.4</v>
      </c>
      <c r="E113" s="15"/>
      <c r="F113" s="15"/>
      <c r="G113" s="15">
        <f t="shared" si="11"/>
        <v>10442652</v>
      </c>
      <c r="H113" s="15"/>
      <c r="I113" s="15">
        <f t="shared" si="10"/>
        <v>0</v>
      </c>
      <c r="J113" s="15">
        <f t="shared" si="10"/>
        <v>2547375.775</v>
      </c>
      <c r="K113" s="15">
        <f t="shared" si="10"/>
        <v>7895275.850000001</v>
      </c>
      <c r="L113" s="15">
        <f t="shared" si="10"/>
        <v>0</v>
      </c>
      <c r="M113" s="15"/>
      <c r="N113" s="15">
        <v>0</v>
      </c>
      <c r="O113" s="89">
        <v>2774232.3</v>
      </c>
      <c r="P113" s="15">
        <v>8701536.55</v>
      </c>
      <c r="Q113" s="15">
        <v>0</v>
      </c>
      <c r="R113" s="15"/>
      <c r="S113" s="15">
        <v>0</v>
      </c>
      <c r="T113" s="15">
        <f>1334569.25+985950</f>
        <v>2320519.25</v>
      </c>
      <c r="U113" s="15">
        <f>2655915.15+2742252+1690848</f>
        <v>7089015.15</v>
      </c>
      <c r="V113" s="15">
        <v>0</v>
      </c>
      <c r="W113" s="15"/>
      <c r="X113" s="15"/>
      <c r="Y113" s="15"/>
      <c r="Z113" s="15"/>
      <c r="AA113" s="15"/>
      <c r="AB113" s="15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1:54" ht="14.25">
      <c r="A114" s="35">
        <f t="shared" si="8"/>
        <v>96</v>
      </c>
      <c r="B114" s="20" t="s">
        <v>365</v>
      </c>
      <c r="C114" s="15">
        <f t="shared" si="9"/>
        <v>-7648.55</v>
      </c>
      <c r="D114" s="15">
        <f t="shared" si="7"/>
        <v>-28403.7</v>
      </c>
      <c r="E114" s="15"/>
      <c r="F114" s="15"/>
      <c r="G114" s="15">
        <f t="shared" si="11"/>
        <v>-18026</v>
      </c>
      <c r="H114" s="15"/>
      <c r="I114" s="15">
        <f t="shared" si="10"/>
        <v>0</v>
      </c>
      <c r="J114" s="15">
        <f t="shared" si="10"/>
        <v>-3244.5</v>
      </c>
      <c r="K114" s="15">
        <f t="shared" si="10"/>
        <v>-14781.625</v>
      </c>
      <c r="L114" s="15">
        <f t="shared" si="10"/>
        <v>0</v>
      </c>
      <c r="M114" s="15"/>
      <c r="N114" s="15">
        <v>0</v>
      </c>
      <c r="O114" s="89">
        <v>-1187.2</v>
      </c>
      <c r="P114" s="15">
        <v>-6461.35</v>
      </c>
      <c r="Q114" s="15">
        <v>0</v>
      </c>
      <c r="R114" s="15"/>
      <c r="S114" s="15">
        <v>0</v>
      </c>
      <c r="T114" s="15">
        <v>-5301.8</v>
      </c>
      <c r="U114" s="15">
        <f>-15362.9-7739</f>
        <v>-23101.9</v>
      </c>
      <c r="V114" s="15">
        <v>0</v>
      </c>
      <c r="W114" s="15"/>
      <c r="X114" s="15"/>
      <c r="Y114" s="15"/>
      <c r="Z114" s="15"/>
      <c r="AA114" s="15"/>
      <c r="AB114" s="15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1:54" ht="14.25">
      <c r="A115" s="35">
        <f t="shared" si="8"/>
        <v>97</v>
      </c>
      <c r="B115" s="20" t="s">
        <v>195</v>
      </c>
      <c r="C115" s="15">
        <f t="shared" si="9"/>
        <v>1792437.68</v>
      </c>
      <c r="D115" s="15">
        <f t="shared" si="7"/>
        <v>1708443.6600000001</v>
      </c>
      <c r="E115" s="15"/>
      <c r="F115" s="15"/>
      <c r="G115" s="15">
        <f t="shared" si="11"/>
        <v>1750441</v>
      </c>
      <c r="H115" s="15"/>
      <c r="I115" s="15">
        <f t="shared" si="10"/>
        <v>0</v>
      </c>
      <c r="J115" s="15">
        <f t="shared" si="10"/>
        <v>621871.0149999999</v>
      </c>
      <c r="K115" s="15">
        <f t="shared" si="10"/>
        <v>1128569.655</v>
      </c>
      <c r="L115" s="15">
        <f t="shared" si="10"/>
        <v>0</v>
      </c>
      <c r="M115" s="15"/>
      <c r="N115" s="15">
        <v>0</v>
      </c>
      <c r="O115" s="89">
        <v>691145.45</v>
      </c>
      <c r="P115" s="15">
        <v>1101292.23</v>
      </c>
      <c r="Q115" s="15">
        <v>0</v>
      </c>
      <c r="R115" s="15"/>
      <c r="S115" s="15">
        <v>0</v>
      </c>
      <c r="T115" s="15">
        <v>552596.58</v>
      </c>
      <c r="U115" s="15">
        <v>1155847.08</v>
      </c>
      <c r="V115" s="15">
        <v>0</v>
      </c>
      <c r="W115" s="15"/>
      <c r="X115" s="15"/>
      <c r="Y115" s="15"/>
      <c r="Z115" s="15"/>
      <c r="AA115" s="15"/>
      <c r="AB115" s="15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1:54" ht="14.25">
      <c r="A116" s="35">
        <f t="shared" si="8"/>
        <v>98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8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54" ht="14.25">
      <c r="A117" s="35">
        <f t="shared" si="8"/>
        <v>99</v>
      </c>
      <c r="B117" s="15" t="s">
        <v>32</v>
      </c>
      <c r="C117" s="15">
        <v>23020475.66</v>
      </c>
      <c r="D117" s="15">
        <f>1182266.78+8948537.27+19105475</f>
        <v>29236279.049999997</v>
      </c>
      <c r="E117" s="15">
        <f aca="true" t="shared" si="12" ref="E117:F120">-C117</f>
        <v>-23020475.66</v>
      </c>
      <c r="F117" s="15">
        <f t="shared" si="12"/>
        <v>-29236279.049999997</v>
      </c>
      <c r="G117" s="15">
        <f aca="true" t="shared" si="13" ref="G117:G123">ROUND(SUM(C117:F117)/2,0)</f>
        <v>0</v>
      </c>
      <c r="H117" s="15"/>
      <c r="I117" s="15"/>
      <c r="J117" s="15"/>
      <c r="K117" s="15"/>
      <c r="L117" s="15"/>
      <c r="M117" s="15"/>
      <c r="N117" s="15"/>
      <c r="O117" s="8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54" ht="14.25">
      <c r="A118" s="35">
        <f t="shared" si="8"/>
        <v>100</v>
      </c>
      <c r="B118" s="15" t="s">
        <v>197</v>
      </c>
      <c r="C118" s="15">
        <v>623477.21</v>
      </c>
      <c r="D118" s="15">
        <v>14329092</v>
      </c>
      <c r="E118" s="15">
        <f t="shared" si="12"/>
        <v>-623477.21</v>
      </c>
      <c r="F118" s="15">
        <f t="shared" si="12"/>
        <v>-14329092</v>
      </c>
      <c r="G118" s="15">
        <f t="shared" si="13"/>
        <v>0</v>
      </c>
      <c r="H118" s="15"/>
      <c r="I118" s="15"/>
      <c r="J118" s="15"/>
      <c r="K118" s="15"/>
      <c r="L118" s="15"/>
      <c r="M118" s="15"/>
      <c r="N118" s="15"/>
      <c r="O118" s="8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54" ht="14.25">
      <c r="A119" s="35">
        <f t="shared" si="8"/>
        <v>101</v>
      </c>
      <c r="B119" s="15" t="s">
        <v>198</v>
      </c>
      <c r="C119" s="15">
        <v>417448.5</v>
      </c>
      <c r="D119" s="15">
        <f>359425.76+65336.24</f>
        <v>424762</v>
      </c>
      <c r="E119" s="15">
        <f t="shared" si="12"/>
        <v>-417448.5</v>
      </c>
      <c r="F119" s="15">
        <f t="shared" si="12"/>
        <v>-424762</v>
      </c>
      <c r="G119" s="15">
        <f t="shared" si="13"/>
        <v>0</v>
      </c>
      <c r="H119" s="15"/>
      <c r="I119" s="15"/>
      <c r="J119" s="15"/>
      <c r="K119" s="15"/>
      <c r="L119" s="15"/>
      <c r="M119" s="15"/>
      <c r="N119" s="15"/>
      <c r="O119" s="8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54" ht="14.25">
      <c r="A120" s="35">
        <f t="shared" si="8"/>
        <v>102</v>
      </c>
      <c r="B120" s="15" t="s">
        <v>199</v>
      </c>
      <c r="C120" s="15">
        <v>0</v>
      </c>
      <c r="D120" s="15">
        <v>0</v>
      </c>
      <c r="E120" s="15">
        <f t="shared" si="12"/>
        <v>0</v>
      </c>
      <c r="F120" s="15">
        <f t="shared" si="12"/>
        <v>0</v>
      </c>
      <c r="G120" s="15">
        <f t="shared" si="13"/>
        <v>0</v>
      </c>
      <c r="H120" s="15"/>
      <c r="I120" s="15"/>
      <c r="J120" s="15"/>
      <c r="K120" s="15"/>
      <c r="L120" s="15"/>
      <c r="M120" s="15"/>
      <c r="N120" s="15"/>
      <c r="O120" s="8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54" ht="14.25">
      <c r="A121" s="35">
        <f t="shared" si="8"/>
        <v>103</v>
      </c>
      <c r="B121" s="20" t="s">
        <v>200</v>
      </c>
      <c r="C121" s="15">
        <v>0</v>
      </c>
      <c r="D121" s="15">
        <v>0</v>
      </c>
      <c r="E121" s="15">
        <f>-C121</f>
        <v>0</v>
      </c>
      <c r="F121" s="15">
        <f>-D121</f>
        <v>0</v>
      </c>
      <c r="G121" s="15">
        <f t="shared" si="13"/>
        <v>0</v>
      </c>
      <c r="H121" s="15"/>
      <c r="I121" s="15"/>
      <c r="J121" s="15"/>
      <c r="K121" s="15"/>
      <c r="L121" s="15"/>
      <c r="M121" s="15"/>
      <c r="N121" s="15"/>
      <c r="O121" s="8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1:54" ht="14.25">
      <c r="A122" s="35">
        <f t="shared" si="8"/>
        <v>104</v>
      </c>
      <c r="B122" s="20" t="s">
        <v>512</v>
      </c>
      <c r="C122" s="15">
        <v>0</v>
      </c>
      <c r="D122" s="15">
        <v>0</v>
      </c>
      <c r="E122" s="15">
        <f>-C122</f>
        <v>0</v>
      </c>
      <c r="F122" s="15">
        <f>-D122</f>
        <v>0</v>
      </c>
      <c r="G122" s="15">
        <f>ROUND(SUM(C122:F122)/2,0)</f>
        <v>0</v>
      </c>
      <c r="H122" s="15"/>
      <c r="I122" s="15"/>
      <c r="J122" s="15"/>
      <c r="K122" s="15"/>
      <c r="L122" s="15"/>
      <c r="M122" s="15"/>
      <c r="N122" s="15"/>
      <c r="O122" s="8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1:54" ht="14.25">
      <c r="A123" s="35">
        <f t="shared" si="8"/>
        <v>105</v>
      </c>
      <c r="B123" s="20" t="s">
        <v>203</v>
      </c>
      <c r="C123" s="15">
        <f>SUM(N123:Q123)</f>
        <v>4453049</v>
      </c>
      <c r="D123" s="15">
        <f>SUM(S123:V123)</f>
        <v>16504571</v>
      </c>
      <c r="E123" s="15"/>
      <c r="F123" s="15"/>
      <c r="G123" s="15">
        <f t="shared" si="13"/>
        <v>10478810</v>
      </c>
      <c r="H123" s="15"/>
      <c r="I123" s="15">
        <f>(+N123+S123)/2</f>
        <v>0</v>
      </c>
      <c r="J123" s="15">
        <f>(+O123+T123)/2</f>
        <v>0</v>
      </c>
      <c r="K123" s="15">
        <f>(+P123+U123)/2</f>
        <v>10478810</v>
      </c>
      <c r="L123" s="15">
        <f>(+Q123+V123)/2</f>
        <v>0</v>
      </c>
      <c r="M123" s="15"/>
      <c r="N123" s="15">
        <v>0</v>
      </c>
      <c r="O123" s="89"/>
      <c r="P123" s="15">
        <v>4453049</v>
      </c>
      <c r="Q123" s="15"/>
      <c r="R123" s="15"/>
      <c r="S123" s="15">
        <v>0</v>
      </c>
      <c r="T123" s="15"/>
      <c r="U123" s="15">
        <v>16504571</v>
      </c>
      <c r="V123" s="15"/>
      <c r="W123" s="15"/>
      <c r="X123" s="15"/>
      <c r="Y123" s="15"/>
      <c r="Z123" s="15"/>
      <c r="AA123" s="15"/>
      <c r="AB123" s="15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1:54" ht="14.25">
      <c r="A124" s="35">
        <f t="shared" si="8"/>
        <v>106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8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1:54" ht="15" thickBot="1">
      <c r="A125" s="35">
        <f t="shared" si="8"/>
        <v>107</v>
      </c>
      <c r="B125" s="20" t="s">
        <v>204</v>
      </c>
      <c r="C125" s="18">
        <f>SUM(C17:C124)</f>
        <v>171815965.18000004</v>
      </c>
      <c r="D125" s="18">
        <f>SUM(D17:D124)</f>
        <v>183084629.24000004</v>
      </c>
      <c r="E125" s="18">
        <f>SUM(E17:E124)</f>
        <v>-24061401.37</v>
      </c>
      <c r="F125" s="18">
        <f>SUM(F17:F124)</f>
        <v>-43990133.05</v>
      </c>
      <c r="G125" s="18">
        <f>SUM(G17:G124)</f>
        <v>143424531</v>
      </c>
      <c r="H125" s="18"/>
      <c r="I125" s="18">
        <f>SUM(I17:I124)</f>
        <v>0</v>
      </c>
      <c r="J125" s="18">
        <f>SUM(J17:J124)</f>
        <v>19921844.604999997</v>
      </c>
      <c r="K125" s="18">
        <f>SUM(K17:K124)</f>
        <v>123502685.39499998</v>
      </c>
      <c r="L125" s="18">
        <f>SUM(L17:L124)</f>
        <v>0</v>
      </c>
      <c r="M125" s="18"/>
      <c r="N125" s="18">
        <f>SUM(N17:N124)</f>
        <v>0</v>
      </c>
      <c r="O125" s="88">
        <f>SUM(O17:O124)</f>
        <v>20611298.000000007</v>
      </c>
      <c r="P125" s="18">
        <f>SUM(P17:P124)</f>
        <v>127143265.81000002</v>
      </c>
      <c r="Q125" s="18">
        <f>SUM(Q17:Q124)</f>
        <v>0</v>
      </c>
      <c r="R125" s="15"/>
      <c r="S125" s="18">
        <f>SUM(S17:S124)</f>
        <v>0</v>
      </c>
      <c r="T125" s="18">
        <f>SUM(T17:T124)</f>
        <v>19232391.209999997</v>
      </c>
      <c r="U125" s="18">
        <f>SUM(U17:U124)</f>
        <v>119862104.98000006</v>
      </c>
      <c r="V125" s="18">
        <f>SUM(V17:V124)</f>
        <v>0</v>
      </c>
      <c r="W125" s="15"/>
      <c r="X125" s="15"/>
      <c r="Y125" s="15"/>
      <c r="Z125" s="15"/>
      <c r="AA125" s="15"/>
      <c r="AB125" s="15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1:54" ht="15" thickTop="1">
      <c r="A126" s="34"/>
      <c r="B126" s="15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93"/>
      <c r="P126" s="19"/>
      <c r="Q126" s="19"/>
      <c r="R126" s="15"/>
      <c r="S126" s="19"/>
      <c r="T126" s="19"/>
      <c r="U126" s="19"/>
      <c r="V126" s="19"/>
      <c r="W126" s="15"/>
      <c r="X126" s="15"/>
      <c r="Y126" s="15"/>
      <c r="Z126" s="15"/>
      <c r="AA126" s="15"/>
      <c r="AB126" s="15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54" ht="14.25">
      <c r="A127" s="34"/>
      <c r="B127" s="15"/>
      <c r="C127" s="15"/>
      <c r="D127" s="15" t="s">
        <v>67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89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1:54" ht="14.25">
      <c r="A128" s="34"/>
      <c r="B128" s="15"/>
      <c r="C128" s="15"/>
      <c r="D128" s="15" t="s">
        <v>67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89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1:54" ht="14.25">
      <c r="A129" s="34"/>
      <c r="B129" s="15"/>
      <c r="C129" s="20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8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1:54" ht="14.25">
      <c r="A130" s="34"/>
      <c r="B130" s="15"/>
      <c r="C130" s="20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8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1:54" ht="14.25">
      <c r="A131" s="34"/>
      <c r="B131" s="15"/>
      <c r="C131" s="20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8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1:54" ht="14.25">
      <c r="A132" s="34"/>
      <c r="B132" s="15"/>
      <c r="C132" s="20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8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1:54" ht="14.25">
      <c r="A133" s="34"/>
      <c r="B133" s="15"/>
      <c r="C133" s="20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8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1:54" ht="14.25">
      <c r="A134" s="3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8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1:54" ht="14.25">
      <c r="A135" s="2"/>
      <c r="B135" s="15"/>
      <c r="C135" s="20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8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1:54" ht="14.25">
      <c r="A136" s="2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8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1:54" ht="14.25">
      <c r="A137" s="2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8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1:54" ht="14.25">
      <c r="A138" s="2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8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1:54" ht="14.25">
      <c r="A139" s="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8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1:54" ht="14.25">
      <c r="A140" s="2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8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1:54" ht="14.25">
      <c r="A141" s="2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8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1:54" ht="14.25">
      <c r="A142" s="2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8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1:54" ht="14.25">
      <c r="A143" s="2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8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1:54" ht="14.25">
      <c r="A144" s="2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8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1:54" ht="14.25">
      <c r="A145" s="2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8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1:54" ht="14.25">
      <c r="A146" s="2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8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1:54" ht="14.25">
      <c r="A147" s="2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8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54" ht="14.25">
      <c r="A148" s="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89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1:54" ht="14.25">
      <c r="A149" s="2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89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1:54" ht="14.25">
      <c r="A150" s="2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89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54" ht="14.25">
      <c r="A151" s="2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89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1:54" ht="14.25">
      <c r="A152" s="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8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1:54" ht="14.25">
      <c r="A153" s="2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8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1:54" ht="14.25">
      <c r="A154" s="2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89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1:54" ht="14.25">
      <c r="A155" s="2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89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1:54" ht="14.25">
      <c r="A156" s="2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89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1:54" ht="14.25">
      <c r="A157" s="2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8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1:54" ht="14.25">
      <c r="A158" s="2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89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1:54" ht="14.25">
      <c r="A159" s="2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89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1:54" ht="14.25">
      <c r="A160" s="2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89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1:54" ht="14.25">
      <c r="A161" s="2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8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1:54" ht="14.25">
      <c r="A162" s="2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8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1:54" ht="14.25">
      <c r="A163" s="2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89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1:54" ht="14.25">
      <c r="A164" s="2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89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1:54" ht="14.25">
      <c r="A165" s="2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8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1:54" ht="14.25">
      <c r="A166" s="2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8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1:54" ht="14.25">
      <c r="A167" s="2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8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1:54" ht="14.25">
      <c r="A168" s="2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8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1:54" ht="14.25">
      <c r="A169" s="2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89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1:54" ht="14.25">
      <c r="A170" s="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89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1:54" ht="14.25">
      <c r="A171" s="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8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1:54" ht="14.25">
      <c r="A172" s="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8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54" ht="14.25">
      <c r="A173" s="2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89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54" ht="14.25">
      <c r="A174" s="2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89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1:54" ht="14.25">
      <c r="A175" s="2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89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1:54" ht="14.25">
      <c r="A176" s="2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89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:54" ht="14.25">
      <c r="A177" s="2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89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:54" ht="14.25">
      <c r="A178" s="2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89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:54" ht="14.25">
      <c r="A179" s="2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89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:54" ht="14.25">
      <c r="A180" s="2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89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:54" ht="14.25">
      <c r="A181" s="2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8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:54" ht="14.25">
      <c r="A182" s="2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8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:54" ht="14.25">
      <c r="A183" s="2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89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:54" ht="14.25">
      <c r="A184" s="2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89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:54" ht="14.25">
      <c r="A185" s="2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89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:54" ht="14.25">
      <c r="A186" s="2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89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:54" ht="14.25">
      <c r="A187" s="2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89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:54" ht="14.25">
      <c r="A188" s="2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89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:54" ht="14.25">
      <c r="A189" s="2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89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:54" ht="14.25">
      <c r="A190" s="2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89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:54" ht="14.25">
      <c r="A191" s="2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89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:54" ht="14.25">
      <c r="A192" s="2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89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:54" ht="14.25">
      <c r="A193" s="2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89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:54" ht="14.25">
      <c r="A194" s="2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89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:54" ht="14.25">
      <c r="A195" s="2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89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:54" ht="14.25">
      <c r="A196" s="2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89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:54" ht="14.25">
      <c r="A197" s="2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89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:54" ht="14.25">
      <c r="A198" s="2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89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:54" ht="14.25">
      <c r="A199" s="2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89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:54" ht="14.25">
      <c r="A200" s="2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89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:54" ht="14.25">
      <c r="A201" s="2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89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:54" ht="14.25">
      <c r="A202" s="2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89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54" ht="14.25">
      <c r="A203" s="2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89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:54" ht="14.25">
      <c r="A204" s="2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89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:54" ht="14.25">
      <c r="A205" s="2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89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:54" ht="14.25">
      <c r="A206" s="2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89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ht="14.25">
      <c r="A207" s="2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89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:54" ht="14.25">
      <c r="A208" s="2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89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:54" ht="14.25">
      <c r="A209" s="2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89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:54" ht="14.25">
      <c r="A210" s="2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89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4" ht="14.25">
      <c r="A211" s="2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89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:54" ht="14.25">
      <c r="A212" s="2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89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4.25">
      <c r="A213" s="2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89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4" ht="14.25">
      <c r="A214" s="2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89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:54" ht="14.25">
      <c r="A215" s="2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89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:54" ht="14.25">
      <c r="A216" s="2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89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:54" ht="14.25">
      <c r="A217" s="2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89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:54" ht="14.25">
      <c r="A218" s="2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89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:54" ht="14.25">
      <c r="A219" s="2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89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:54" ht="14.25">
      <c r="A220" s="2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89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:54" ht="14.25">
      <c r="A221" s="2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89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:54" ht="14.25">
      <c r="A222" s="2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89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:54" ht="14.25">
      <c r="A223" s="2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89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:54" ht="14.25">
      <c r="A224" s="2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89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ht="14.25">
      <c r="A225" s="2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89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54" ht="14.25">
      <c r="A226" s="2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89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:54" ht="14.25">
      <c r="A227" s="2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89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:54" ht="14.25">
      <c r="A228" s="2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89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:54" ht="14.25">
      <c r="A229" s="2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89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:54" ht="14.25">
      <c r="A230" s="2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89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:54" ht="14.25">
      <c r="A231" s="2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89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:54" ht="14.25">
      <c r="A232" s="2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89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:54" ht="14.25">
      <c r="A233" s="2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89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:54" ht="14.25">
      <c r="A234" s="2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89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ht="14.25">
      <c r="A235" s="2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89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:54" ht="14.25">
      <c r="A236" s="2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89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:54" ht="14.25">
      <c r="A237" s="2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89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:54" ht="14.25">
      <c r="A238" s="2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89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:54" ht="14.25">
      <c r="A239" s="2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89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:54" ht="14.25">
      <c r="A240" s="2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89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:54" ht="14.25">
      <c r="A241" s="2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89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1:54" ht="14.25">
      <c r="A242" s="2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89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1:54" ht="14.25">
      <c r="A243" s="2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89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1:54" ht="14.25">
      <c r="A244" s="2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89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1:54" ht="14.25">
      <c r="A245" s="2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89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1:54" ht="14.25">
      <c r="A246" s="2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89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1:54" ht="14.25">
      <c r="A247" s="2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89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1:54" ht="14.25">
      <c r="A248" s="2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89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1:54" ht="14.25">
      <c r="A249" s="2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89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1:54" ht="14.25">
      <c r="A250" s="2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89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1:54" ht="14.25">
      <c r="A251" s="2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89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1:54" ht="14.25">
      <c r="A252" s="2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89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1:54" ht="14.25">
      <c r="A253" s="2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89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1:54" ht="14.25">
      <c r="A254" s="2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89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1:54" ht="14.25">
      <c r="A255" s="2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89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1:54" ht="14.25">
      <c r="A256" s="2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89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1:54" ht="14.25">
      <c r="A257" s="2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89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1:54" ht="14.25">
      <c r="A258" s="2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89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1:54" ht="14.25">
      <c r="A259" s="2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89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1:54" ht="14.25">
      <c r="A260" s="2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89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1:54" ht="14.25">
      <c r="A261" s="2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89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1:54" ht="14.25">
      <c r="A262" s="2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89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1:54" ht="14.25">
      <c r="A263" s="2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89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1:54" ht="14.25">
      <c r="A264" s="2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89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1:54" ht="14.25">
      <c r="A265" s="2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89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1:54" ht="14.25">
      <c r="A266" s="2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89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1:54" ht="14.25">
      <c r="A267" s="2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8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1:54" ht="14.25">
      <c r="A268" s="2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8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1:54" ht="14.25">
      <c r="A269" s="2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89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1:54" ht="14.25">
      <c r="A270" s="2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89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1:54" ht="14.25">
      <c r="A271" s="2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89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1:54" ht="14.25">
      <c r="A272" s="2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8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1:54" ht="14.25">
      <c r="A273" s="2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89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1:54" ht="14.25">
      <c r="A274" s="2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89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1:54" ht="14.25">
      <c r="A275" s="2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89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1:54" ht="14.25">
      <c r="A276" s="2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8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1:54" ht="14.25">
      <c r="A277" s="2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8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1:54" ht="14.25">
      <c r="A278" s="2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8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1:54" ht="14.25">
      <c r="A279" s="2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89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1:54" ht="14.25">
      <c r="A280" s="2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8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1:54" ht="14.25">
      <c r="A281" s="2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8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1:54" ht="14.25">
      <c r="A282" s="2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8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1:54" ht="14.25">
      <c r="A283" s="2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89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1:54" ht="14.25">
      <c r="A284" s="2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89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1:54" ht="14.25">
      <c r="A285" s="2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89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1:54" ht="14.25">
      <c r="A286" s="2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89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1:54" ht="14.25">
      <c r="A287" s="2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89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1:54" ht="14.25">
      <c r="A288" s="2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89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1:54" ht="14.25">
      <c r="A289" s="2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89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1:54" ht="14.25">
      <c r="A290" s="2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89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1:54" ht="14.25">
      <c r="A291" s="2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89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1:54" ht="14.25">
      <c r="A292" s="2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89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1:54" ht="14.25">
      <c r="A293" s="2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89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1:54" ht="14.25">
      <c r="A294" s="2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89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1:54" ht="14.25">
      <c r="A295" s="2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89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1:54" ht="14.25">
      <c r="A296" s="2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89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1:54" ht="14.25">
      <c r="A297" s="2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89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54" ht="14.25">
      <c r="A298" s="2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8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1:54" ht="14.25">
      <c r="A299" s="2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8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1:54" ht="14.25">
      <c r="A300" s="2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89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1:54" ht="14.25">
      <c r="A301" s="2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89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1:54" ht="14.25">
      <c r="A302" s="2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89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1:54" ht="14.25">
      <c r="A303" s="2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8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1:54" ht="14.25">
      <c r="A304" s="2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8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1:54" ht="14.25">
      <c r="A305" s="2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89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1:54" ht="14.25">
      <c r="A306" s="2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89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1:54" ht="14.25">
      <c r="A307" s="2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8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1:54" ht="14.25">
      <c r="A308" s="2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8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1:54" ht="14.25">
      <c r="A309" s="2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89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1:54" ht="14.25">
      <c r="A310" s="2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89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1:54" ht="14.25">
      <c r="A311" s="2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89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1:54" ht="14.25">
      <c r="A312" s="2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89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1:54" ht="14.25">
      <c r="A313" s="2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89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1:54" ht="14.25">
      <c r="A314" s="2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89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1:54" ht="14.25">
      <c r="A315" s="2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89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1:54" ht="14.25">
      <c r="A316" s="2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89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1:54" ht="14.25">
      <c r="A317" s="2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89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1:54" ht="14.25">
      <c r="A318" s="2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89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1:54" ht="14.25">
      <c r="A319" s="2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89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1:54" ht="14.25">
      <c r="A320" s="2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89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1:54" ht="14.25">
      <c r="A321" s="2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89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1:54" ht="14.25">
      <c r="A322" s="2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89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1:54" ht="14.25">
      <c r="A323" s="2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89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1:54" ht="14.25">
      <c r="A324" s="2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8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1:54" ht="14.25">
      <c r="A325" s="2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8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1:54" ht="14.25">
      <c r="A326" s="2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8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1:54" ht="14.25">
      <c r="A327" s="2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8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1:54" ht="14.25">
      <c r="A328" s="2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8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1:54" ht="14.25">
      <c r="A329" s="2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8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1:54" ht="14.25">
      <c r="A330" s="2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89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1:54" ht="14.25">
      <c r="A331" s="2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89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1:54" ht="14.25">
      <c r="A332" s="2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89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1:54" ht="14.25">
      <c r="A333" s="2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89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1:54" ht="14.25">
      <c r="A334" s="2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89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1:54" ht="14.25">
      <c r="A335" s="2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89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1:54" ht="14.25">
      <c r="A336" s="2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89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1:54" ht="14.25">
      <c r="A337" s="2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89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1:54" ht="14.25">
      <c r="A338" s="2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89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1:54" ht="14.25">
      <c r="A339" s="2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89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1:54" ht="14.25">
      <c r="A340" s="2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89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1:54" ht="14.25">
      <c r="A341" s="2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8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1:54" ht="14.25">
      <c r="A342" s="2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89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1:54" ht="14.25">
      <c r="A343" s="2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89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1:54" ht="14.25">
      <c r="A344" s="2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8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1:54" ht="14.25">
      <c r="A345" s="2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89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1:54" ht="14.25">
      <c r="A346" s="2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8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1:54" ht="14.25">
      <c r="A347" s="2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8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1:54" ht="14.25">
      <c r="A348" s="2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8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1:54" ht="14.25">
      <c r="A349" s="2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8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1:54" ht="14.25">
      <c r="A350" s="2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8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1:54" ht="14.25">
      <c r="A351" s="2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8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1:54" ht="14.25">
      <c r="A352" s="2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8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1:54" ht="14.25">
      <c r="A353" s="2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8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1:54" ht="14.25">
      <c r="A354" s="2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8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1:54" ht="14.25">
      <c r="A355" s="2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8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1:54" ht="14.25">
      <c r="A356" s="2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8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1:54" ht="14.25">
      <c r="A357" s="2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8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1:54" ht="14.25">
      <c r="A358" s="2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8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1:54" ht="14.25">
      <c r="A359" s="2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8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1:54" ht="14.25">
      <c r="A360" s="2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8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1:54" ht="14.25">
      <c r="A361" s="2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89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1:54" ht="14.25">
      <c r="A362" s="2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89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1:54" ht="14.25">
      <c r="A363" s="2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8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1:54" ht="14.25">
      <c r="A364" s="2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89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1:54" ht="14.25">
      <c r="A365" s="2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8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1:54" ht="14.25">
      <c r="A366" s="2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89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1:54" ht="14.25">
      <c r="A367" s="2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89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1:54" ht="14.25">
      <c r="A368" s="2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89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1:54" ht="14.25">
      <c r="A369" s="2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8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1:54" ht="14.25">
      <c r="A370" s="2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8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1:54" ht="14.25">
      <c r="A371" s="2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8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1:54" ht="14.25">
      <c r="A372" s="2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89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1:54" ht="14.25">
      <c r="A373" s="2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89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1:54" ht="14.25">
      <c r="A374" s="2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8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1:54" ht="14.25">
      <c r="A375" s="2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8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1:54" ht="14.25">
      <c r="A376" s="2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8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1:54" ht="14.25">
      <c r="A377" s="2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8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1:54" ht="14.25">
      <c r="A378" s="2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8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1:54" ht="14.25">
      <c r="A379" s="2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8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1:54" ht="14.25">
      <c r="A380" s="2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8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1:54" ht="14.25">
      <c r="A381" s="2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8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1:54" ht="14.25">
      <c r="A382" s="2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8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1:54" ht="14.25">
      <c r="A383" s="2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8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1:54" ht="14.25">
      <c r="A384" s="2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8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1:54" ht="14.25">
      <c r="A385" s="2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8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1:54" ht="14.25">
      <c r="A386" s="2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8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1:54" ht="14.25">
      <c r="A387" s="2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8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1:54" ht="14.25">
      <c r="A388" s="2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8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1:54" ht="14.25">
      <c r="A389" s="2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8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1:54" ht="14.25">
      <c r="A390" s="2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8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1:54" ht="14.25">
      <c r="A391" s="2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8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1:54" ht="14.25">
      <c r="A392" s="2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8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1:54" ht="14.25">
      <c r="A393" s="2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8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1:54" ht="14.25">
      <c r="A394" s="2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8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1:54" ht="14.25">
      <c r="A395" s="2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8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1:54" ht="14.25">
      <c r="A396" s="2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8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1:54" ht="14.25">
      <c r="A397" s="2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89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1:54" ht="14.25">
      <c r="A398" s="2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89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1:54" ht="14.25">
      <c r="A399" s="2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89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1:54" ht="14.25">
      <c r="A400" s="2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89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1:54" ht="14.25">
      <c r="A401" s="2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89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1:54" ht="14.25">
      <c r="A402" s="2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89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1:54" ht="14.25">
      <c r="A403" s="2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89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1:54" ht="14.25">
      <c r="A404" s="2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89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1:54" ht="14.25">
      <c r="A405" s="2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89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1:54" ht="14.25">
      <c r="A406" s="2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89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1:54" ht="14.25">
      <c r="A407" s="2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89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1:54" ht="14.25">
      <c r="A408" s="2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89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1:54" ht="14.25">
      <c r="A409" s="2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89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1:54" ht="14.25">
      <c r="A410" s="2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89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1:54" ht="14.25">
      <c r="A411" s="2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89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1:54" ht="14.25">
      <c r="A412" s="2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89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1:54" ht="14.25">
      <c r="A413" s="2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89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1:54" ht="14.25">
      <c r="A414" s="2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89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1:54" ht="14.25">
      <c r="A415" s="2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8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1:54" ht="14.25">
      <c r="A416" s="2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89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1:54" ht="14.25">
      <c r="A417" s="2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89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1:32" ht="14.25">
      <c r="A418" s="2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89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4"/>
      <c r="AD418" s="4"/>
      <c r="AE418" s="4"/>
      <c r="AF418" s="4"/>
    </row>
    <row r="419" spans="1:32" ht="14.25">
      <c r="A419" s="2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89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4"/>
      <c r="AD419" s="4"/>
      <c r="AE419" s="4"/>
      <c r="AF419" s="4"/>
    </row>
    <row r="420" spans="1:32" ht="14.25">
      <c r="A420" s="2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89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4"/>
      <c r="AD420" s="4"/>
      <c r="AE420" s="4"/>
      <c r="AF420" s="4"/>
    </row>
    <row r="421" spans="1:32" ht="14.25">
      <c r="A421" s="2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89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4"/>
      <c r="AD421" s="4"/>
      <c r="AE421" s="4"/>
      <c r="AF421" s="4"/>
    </row>
    <row r="422" spans="1:32" ht="14.25">
      <c r="A422" s="2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89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4"/>
      <c r="AD422" s="4"/>
      <c r="AE422" s="4"/>
      <c r="AF422" s="4"/>
    </row>
    <row r="423" spans="1:32" ht="14.25">
      <c r="A423" s="2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8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4"/>
      <c r="AD423" s="4"/>
      <c r="AE423" s="4"/>
      <c r="AF423" s="4"/>
    </row>
    <row r="424" spans="2:28" ht="14.2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</row>
    <row r="425" spans="2:28" ht="14.2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</row>
    <row r="426" spans="2:28" ht="14.2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</row>
    <row r="427" spans="2:28" ht="14.2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</row>
    <row r="428" spans="2:28" ht="14.2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</row>
    <row r="429" spans="2:28" ht="14.2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</row>
    <row r="430" spans="2:28" ht="14.2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</row>
    <row r="431" spans="2:28" ht="14.2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</row>
    <row r="432" spans="2:28" ht="14.2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</row>
    <row r="433" spans="2:28" ht="14.2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</row>
    <row r="434" spans="2:28" ht="14.2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</row>
    <row r="435" spans="2:28" ht="14.2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</row>
    <row r="436" spans="2:28" ht="14.2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</row>
    <row r="437" spans="2:28" ht="14.2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</row>
    <row r="438" spans="2:28" ht="14.2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</row>
    <row r="439" spans="2:28" ht="14.2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</row>
    <row r="440" spans="2:28" ht="14.2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</row>
    <row r="441" spans="2:28" ht="14.2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</row>
    <row r="442" spans="2:28" ht="14.2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</row>
    <row r="443" spans="2:28" ht="14.2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</row>
    <row r="444" spans="2:28" ht="14.2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</row>
    <row r="445" spans="2:28" ht="14.2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</row>
    <row r="446" spans="2:28" ht="14.2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</row>
    <row r="447" spans="2:28" ht="14.2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</row>
    <row r="448" spans="2:28" ht="14.2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</row>
    <row r="449" spans="2:28" ht="14.2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</row>
    <row r="450" spans="2:28" ht="14.2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</row>
    <row r="451" spans="2:28" ht="14.2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</row>
    <row r="452" spans="2:28" ht="14.2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</row>
    <row r="453" spans="2:28" ht="14.2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</row>
    <row r="454" spans="2:28" ht="14.2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</row>
    <row r="455" spans="2:28" ht="14.2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</row>
    <row r="456" spans="2:28" ht="14.2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</row>
    <row r="457" spans="2:28" ht="14.2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</row>
    <row r="458" spans="2:28" ht="14.2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</row>
    <row r="459" spans="2:28" ht="14.2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</row>
    <row r="460" spans="2:28" ht="14.2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</row>
    <row r="461" spans="2:28" ht="14.2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</row>
    <row r="462" spans="2:28" ht="14.2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</row>
    <row r="463" spans="2:28" ht="14.2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</row>
    <row r="464" spans="2:28" ht="14.2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</row>
    <row r="465" spans="2:28" ht="14.2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</row>
    <row r="466" spans="2:28" ht="14.2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</row>
    <row r="467" spans="2:28" ht="14.2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</row>
    <row r="468" spans="2:28" ht="14.2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</row>
    <row r="469" spans="2:28" ht="14.2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</row>
    <row r="470" spans="2:28" ht="14.2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</row>
    <row r="471" spans="2:28" ht="14.2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</row>
    <row r="472" spans="2:28" ht="14.2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</row>
    <row r="473" spans="2:28" ht="14.2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</row>
    <row r="474" spans="2:28" ht="14.2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</row>
    <row r="475" spans="2:28" ht="14.2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</row>
    <row r="476" spans="2:28" ht="14.2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</row>
    <row r="477" spans="2:28" ht="14.2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</row>
    <row r="478" spans="2:28" ht="14.2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</row>
    <row r="479" spans="2:28" ht="14.2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</row>
    <row r="480" spans="2:28" ht="14.2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</row>
    <row r="481" spans="2:28" ht="14.2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</row>
    <row r="482" spans="2:28" ht="14.2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</row>
    <row r="483" spans="2:28" ht="14.2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</row>
    <row r="484" spans="2:28" ht="14.2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</row>
    <row r="485" spans="2:28" ht="14.2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</row>
    <row r="486" spans="2:28" ht="14.2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</row>
    <row r="487" spans="2:28" ht="14.2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</row>
    <row r="488" spans="2:28" ht="14.2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</row>
    <row r="489" spans="2:28" ht="14.2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</row>
    <row r="490" spans="2:28" ht="14.2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</row>
    <row r="491" spans="2:28" ht="14.2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</row>
    <row r="492" spans="2:28" ht="14.2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</row>
    <row r="493" spans="2:28" ht="14.2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</row>
    <row r="494" spans="2:28" ht="14.2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</row>
    <row r="495" spans="2:28" ht="14.2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</row>
    <row r="496" spans="2:28" ht="14.2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</row>
    <row r="497" spans="2:28" ht="14.2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</row>
    <row r="498" spans="2:28" ht="14.2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</row>
    <row r="499" spans="2:28" ht="14.2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</row>
    <row r="500" spans="2:28" ht="14.2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</row>
    <row r="501" spans="2:28" ht="14.2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</row>
    <row r="502" spans="2:28" ht="14.2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</row>
    <row r="503" spans="2:28" ht="14.2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</row>
    <row r="504" spans="2:28" ht="14.2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</row>
    <row r="505" spans="2:28" ht="14.2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</row>
    <row r="506" spans="2:28" ht="14.2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</row>
    <row r="507" spans="2:28" ht="14.2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</row>
    <row r="508" spans="2:28" ht="14.2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</row>
    <row r="509" spans="2:28" ht="14.2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</row>
    <row r="510" spans="2:28" ht="14.2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</row>
    <row r="511" spans="2:28" ht="14.2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</row>
    <row r="512" spans="2:28" ht="14.2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</row>
    <row r="513" spans="2:28" ht="14.2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</row>
    <row r="514" spans="2:28" ht="14.2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</row>
    <row r="515" spans="2:28" ht="14.2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</row>
    <row r="516" spans="2:28" ht="14.2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</row>
    <row r="517" spans="2:28" ht="14.2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</row>
    <row r="518" spans="2:28" ht="14.2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</row>
    <row r="519" spans="2:28" ht="14.2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</row>
    <row r="520" spans="2:28" ht="14.2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</row>
    <row r="521" spans="2:28" ht="14.2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</row>
    <row r="522" spans="2:28" ht="14.2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</row>
    <row r="523" spans="2:28" ht="14.2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</row>
    <row r="524" spans="2:28" ht="14.2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</row>
    <row r="525" spans="2:28" ht="14.2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</row>
    <row r="526" spans="2:28" ht="14.2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</row>
    <row r="527" spans="2:28" ht="14.2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</row>
    <row r="528" spans="2:28" ht="14.2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</row>
    <row r="529" spans="2:28" ht="14.2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</row>
    <row r="530" spans="2:28" ht="14.2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</row>
    <row r="531" spans="2:28" ht="14.2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</row>
    <row r="532" spans="2:28" ht="14.2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</row>
    <row r="533" spans="2:28" ht="14.2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</row>
    <row r="534" spans="2:28" ht="14.2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</row>
    <row r="535" spans="2:28" ht="14.2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</row>
    <row r="536" spans="2:28" ht="14.2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</row>
    <row r="537" spans="2:28" ht="14.2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</row>
    <row r="538" spans="2:28" ht="14.2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</row>
    <row r="539" spans="2:28" ht="14.2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</row>
    <row r="540" spans="2:28" ht="14.2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</row>
    <row r="541" spans="2:28" ht="14.2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</row>
    <row r="542" spans="2:28" ht="14.2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</row>
    <row r="543" spans="2:28" ht="14.2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</row>
    <row r="544" spans="2:28" ht="14.2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</row>
    <row r="545" spans="2:28" ht="14.2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</row>
    <row r="546" spans="2:28" ht="14.2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</row>
    <row r="547" spans="2:28" ht="14.2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</row>
    <row r="548" spans="2:28" ht="14.2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</row>
    <row r="549" spans="2:28" ht="14.2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</row>
    <row r="550" spans="2:28" ht="14.2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</row>
    <row r="551" spans="2:28" ht="14.2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</row>
    <row r="552" spans="2:28" ht="14.2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</row>
    <row r="553" spans="2:28" ht="14.2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</row>
    <row r="554" spans="2:28" ht="14.2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</row>
    <row r="555" spans="2:28" ht="14.2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</row>
    <row r="556" spans="2:28" ht="14.2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</row>
    <row r="557" spans="2:28" ht="14.2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</row>
    <row r="558" spans="2:28" ht="14.2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</row>
    <row r="559" spans="2:28" ht="14.2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</row>
    <row r="560" spans="2:28" ht="14.2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</row>
    <row r="561" spans="2:28" ht="14.2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</row>
    <row r="562" spans="2:28" ht="14.2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</row>
    <row r="563" spans="2:28" ht="14.2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</row>
    <row r="564" spans="2:28" ht="14.2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</row>
    <row r="565" spans="2:28" ht="14.2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</row>
    <row r="566" spans="2:28" ht="14.2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</row>
    <row r="567" spans="2:28" ht="14.2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</row>
    <row r="568" spans="2:28" ht="14.2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</row>
    <row r="569" spans="2:28" ht="14.2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</row>
    <row r="570" spans="2:28" ht="14.2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</row>
    <row r="571" spans="2:28" ht="14.2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</row>
    <row r="572" spans="2:28" ht="14.2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</row>
    <row r="573" spans="2:28" ht="14.2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</row>
    <row r="574" spans="2:28" ht="14.2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</row>
    <row r="575" spans="2:28" ht="14.2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</row>
    <row r="576" spans="2:28" ht="14.2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</row>
    <row r="577" spans="2:28" ht="14.2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</row>
    <row r="578" spans="2:28" ht="14.2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</row>
    <row r="579" spans="2:28" ht="14.2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</row>
    <row r="580" spans="2:28" ht="14.2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</row>
    <row r="581" spans="2:28" ht="14.2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</row>
    <row r="582" spans="2:28" ht="14.2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</row>
    <row r="583" spans="2:28" ht="14.2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</row>
    <row r="584" spans="2:28" ht="14.2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</row>
    <row r="585" spans="2:28" ht="14.2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</row>
    <row r="586" spans="2:28" ht="14.2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</row>
    <row r="587" spans="2:28" ht="14.2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</row>
    <row r="588" spans="2:28" ht="14.2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</row>
    <row r="589" spans="2:28" ht="14.2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</row>
    <row r="590" spans="2:28" ht="14.2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</row>
    <row r="591" spans="2:28" ht="14.2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</row>
    <row r="592" spans="2:28" ht="14.2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</row>
    <row r="593" spans="2:28" ht="14.2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</row>
    <row r="594" spans="2:28" ht="14.2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</row>
    <row r="595" spans="2:28" ht="14.2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</row>
    <row r="596" spans="2:28" ht="14.2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</row>
    <row r="597" spans="2:28" ht="14.2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</row>
    <row r="598" spans="2:28" ht="14.2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</row>
    <row r="599" spans="2:28" ht="14.2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</row>
    <row r="600" spans="2:28" ht="14.25"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</row>
    <row r="601" spans="2:28" ht="14.25"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</row>
    <row r="602" spans="2:28" ht="14.25"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</row>
    <row r="603" spans="2:28" ht="14.25"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</row>
    <row r="604" spans="2:28" ht="14.25"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</row>
    <row r="605" spans="2:28" ht="14.25"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</row>
    <row r="606" spans="2:28" ht="14.25"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</row>
    <row r="607" spans="2:28" ht="14.25"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</row>
    <row r="608" spans="2:28" ht="14.25"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</row>
    <row r="609" spans="2:28" ht="14.25"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</row>
    <row r="610" spans="2:28" ht="14.25"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</row>
    <row r="611" spans="2:28" ht="14.25"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</row>
    <row r="612" spans="2:28" ht="14.25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</row>
    <row r="613" spans="2:28" ht="14.25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</row>
    <row r="614" spans="2:28" ht="14.25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</row>
    <row r="615" spans="2:28" ht="14.25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</row>
    <row r="616" spans="2:28" ht="14.25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</row>
    <row r="617" spans="2:28" ht="14.25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</row>
    <row r="618" spans="2:28" ht="14.25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</row>
    <row r="619" spans="2:28" ht="14.25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</row>
    <row r="620" spans="2:28" ht="14.25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</row>
    <row r="621" spans="2:28" ht="14.25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</row>
    <row r="622" spans="2:28" ht="14.25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</row>
    <row r="623" spans="2:28" ht="14.25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</row>
    <row r="624" spans="2:28" ht="14.25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</row>
    <row r="625" spans="2:28" ht="14.25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</row>
    <row r="626" spans="2:28" ht="14.25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</row>
    <row r="627" spans="2:28" ht="14.25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</row>
    <row r="628" spans="2:28" ht="14.25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</row>
    <row r="629" spans="2:28" ht="14.25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</row>
    <row r="630" spans="2:28" ht="14.25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</row>
    <row r="631" spans="2:28" ht="14.25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</row>
    <row r="632" spans="2:28" ht="14.25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</row>
    <row r="633" spans="2:28" ht="14.25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</row>
    <row r="634" spans="2:28" ht="14.25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</row>
    <row r="635" spans="2:28" ht="14.25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</row>
    <row r="636" spans="2:28" ht="14.25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</row>
    <row r="637" spans="2:28" ht="14.25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</row>
    <row r="638" spans="2:28" ht="14.25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</row>
    <row r="639" spans="2:28" ht="14.25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</row>
    <row r="640" spans="2:28" ht="14.25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</row>
    <row r="641" spans="2:28" ht="14.25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</row>
    <row r="642" spans="2:28" ht="14.25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</row>
    <row r="643" spans="2:28" ht="14.25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</row>
    <row r="644" spans="2:28" ht="14.25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</row>
    <row r="645" spans="2:28" ht="14.25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</row>
    <row r="646" spans="2:28" ht="14.25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</row>
    <row r="647" spans="2:28" ht="14.25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</row>
    <row r="648" spans="2:28" ht="14.25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</row>
    <row r="649" spans="2:28" ht="14.25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</row>
    <row r="650" spans="2:28" ht="14.25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</row>
    <row r="651" spans="2:28" ht="14.25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</row>
    <row r="652" spans="2:28" ht="14.25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</row>
    <row r="653" spans="2:28" ht="14.25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</row>
    <row r="654" spans="2:28" ht="14.25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</row>
    <row r="655" spans="2:28" ht="14.25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</row>
    <row r="656" spans="2:28" ht="14.25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</row>
    <row r="657" spans="2:28" ht="14.25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</row>
    <row r="658" spans="2:28" ht="14.25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</row>
    <row r="659" spans="2:28" ht="14.25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</row>
    <row r="660" spans="2:28" ht="14.25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</row>
    <row r="661" spans="2:28" ht="14.25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</row>
    <row r="662" spans="2:28" ht="14.25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</row>
    <row r="663" spans="2:28" ht="14.25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</row>
    <row r="664" spans="2:28" ht="14.25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</row>
    <row r="665" spans="2:28" ht="14.25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</row>
    <row r="666" spans="2:28" ht="14.25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</row>
    <row r="667" spans="2:28" ht="14.25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</row>
    <row r="668" spans="2:28" ht="14.25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</row>
    <row r="669" spans="2:28" ht="14.25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</row>
    <row r="670" spans="2:28" ht="14.25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</row>
    <row r="671" spans="2:28" ht="14.25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</row>
    <row r="672" spans="2:28" ht="14.25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</row>
    <row r="673" spans="2:28" ht="14.25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</row>
    <row r="674" spans="2:28" ht="14.25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</row>
    <row r="675" spans="2:28" ht="14.25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</row>
    <row r="676" spans="2:28" ht="14.25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</row>
    <row r="677" spans="2:28" ht="14.25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</row>
    <row r="678" spans="2:28" ht="14.25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</row>
    <row r="679" spans="2:28" ht="14.25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</row>
    <row r="680" spans="2:28" ht="14.25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</row>
    <row r="681" spans="2:28" ht="14.25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</row>
    <row r="682" spans="2:28" ht="14.25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</row>
    <row r="683" spans="2:28" ht="14.25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</row>
    <row r="684" spans="2:28" ht="14.25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</row>
    <row r="685" spans="2:28" ht="14.25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</row>
    <row r="686" spans="2:28" ht="14.25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</row>
    <row r="687" spans="2:28" ht="14.25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</row>
    <row r="688" spans="2:28" ht="14.25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</row>
    <row r="689" spans="2:28" ht="14.25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</row>
    <row r="690" spans="2:28" ht="14.25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</row>
    <row r="691" spans="2:28" ht="14.25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</row>
    <row r="692" spans="2:28" ht="14.25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</row>
    <row r="693" spans="2:28" ht="14.25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</row>
    <row r="694" spans="2:28" ht="14.25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</row>
    <row r="695" spans="2:28" ht="14.25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</row>
    <row r="696" spans="2:28" ht="14.25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</row>
    <row r="697" spans="2:28" ht="14.25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</row>
    <row r="698" spans="2:28" ht="14.25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</row>
    <row r="699" spans="2:28" ht="14.25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</row>
    <row r="700" spans="2:28" ht="14.25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</row>
    <row r="701" spans="2:28" ht="14.25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</row>
    <row r="702" spans="2:28" ht="14.25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</row>
    <row r="703" spans="2:28" ht="14.25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</row>
    <row r="704" spans="2:28" ht="14.25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</row>
    <row r="705" spans="2:28" ht="14.25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</row>
    <row r="706" spans="2:28" ht="14.25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</row>
    <row r="707" spans="2:28" ht="14.25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</row>
    <row r="708" spans="2:28" ht="14.25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</row>
    <row r="709" spans="2:28" ht="14.25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</row>
    <row r="710" spans="2:28" ht="14.25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</row>
    <row r="711" spans="2:28" ht="14.25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</row>
    <row r="712" spans="2:28" ht="14.25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</row>
    <row r="713" spans="2:28" ht="14.25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</row>
    <row r="714" spans="2:28" ht="14.25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</row>
    <row r="715" spans="2:28" ht="14.25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</row>
    <row r="716" spans="2:28" ht="14.25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</row>
    <row r="717" spans="2:28" ht="14.25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</row>
    <row r="718" spans="2:28" ht="14.25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</row>
    <row r="719" spans="2:28" ht="14.25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</row>
    <row r="720" spans="2:28" ht="14.25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</row>
    <row r="721" spans="2:28" ht="14.25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</row>
    <row r="722" spans="2:28" ht="14.25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</row>
    <row r="723" spans="2:28" ht="14.25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</row>
    <row r="724" spans="2:28" ht="14.25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</row>
    <row r="725" spans="2:28" ht="14.25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</row>
    <row r="726" spans="2:28" ht="14.25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</row>
    <row r="727" spans="2:28" ht="14.25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</row>
    <row r="728" spans="2:28" ht="14.25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</row>
    <row r="729" spans="2:28" ht="14.25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</row>
    <row r="730" spans="2:28" ht="14.25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</row>
    <row r="731" spans="2:28" ht="14.25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</row>
    <row r="732" spans="2:28" ht="14.25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</row>
    <row r="733" spans="2:28" ht="14.25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</row>
    <row r="734" spans="2:28" ht="14.25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</row>
    <row r="735" spans="2:28" ht="14.25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</row>
    <row r="736" spans="2:28" ht="14.25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</row>
    <row r="737" spans="2:28" ht="14.25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</row>
    <row r="738" spans="2:28" ht="14.25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</row>
    <row r="739" spans="2:28" ht="14.25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</row>
    <row r="740" spans="2:28" ht="14.25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</row>
    <row r="741" spans="2:28" ht="14.25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</row>
    <row r="742" spans="2:28" ht="14.25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</row>
    <row r="743" spans="2:28" ht="14.25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</row>
    <row r="744" spans="2:28" ht="14.25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</row>
    <row r="745" spans="2:28" ht="14.25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</row>
    <row r="746" spans="2:28" ht="14.25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</row>
    <row r="747" spans="2:28" ht="14.25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</row>
    <row r="748" spans="2:28" ht="14.25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</row>
    <row r="749" spans="2:28" ht="14.25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</row>
    <row r="750" spans="2:28" ht="14.25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</row>
    <row r="751" spans="2:28" ht="14.25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</row>
    <row r="752" spans="2:28" ht="14.25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</row>
    <row r="753" spans="2:28" ht="14.25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</row>
    <row r="754" spans="2:28" ht="14.25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</row>
    <row r="755" spans="2:28" ht="14.25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</row>
    <row r="756" spans="2:28" ht="14.25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</row>
    <row r="757" spans="2:28" ht="14.25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</row>
    <row r="758" spans="2:28" ht="14.25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</row>
    <row r="759" spans="2:28" ht="14.25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</row>
    <row r="760" spans="2:28" ht="14.25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</row>
    <row r="761" spans="2:28" ht="14.25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</row>
    <row r="762" spans="2:28" ht="14.25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</row>
    <row r="763" spans="2:28" ht="14.25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</row>
    <row r="764" spans="2:28" ht="14.25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</row>
    <row r="765" spans="2:28" ht="14.25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</row>
    <row r="766" spans="2:28" ht="14.25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</row>
    <row r="767" spans="2:28" ht="14.25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</row>
    <row r="768" spans="2:28" ht="14.25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</row>
    <row r="769" spans="2:28" ht="14.25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</row>
    <row r="770" spans="2:28" ht="14.25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</row>
    <row r="771" spans="2:28" ht="14.25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</row>
    <row r="772" spans="2:28" ht="14.25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</row>
    <row r="773" spans="2:28" ht="14.25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</row>
    <row r="774" spans="2:28" ht="14.25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</row>
    <row r="775" spans="2:28" ht="14.25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</row>
    <row r="776" spans="2:28" ht="14.25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</row>
    <row r="777" spans="2:28" ht="14.25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</row>
    <row r="778" spans="2:28" ht="14.25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</row>
    <row r="779" spans="2:28" ht="14.25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</row>
    <row r="780" spans="2:28" ht="14.25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</row>
    <row r="781" spans="2:28" ht="14.25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</row>
    <row r="782" spans="2:28" ht="14.25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</row>
    <row r="783" spans="2:28" ht="14.25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</row>
    <row r="784" spans="2:28" ht="14.25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</row>
    <row r="785" spans="2:28" ht="14.25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</row>
    <row r="786" spans="2:28" ht="14.25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</row>
    <row r="787" spans="2:28" ht="14.25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</row>
    <row r="788" spans="2:28" ht="14.25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</row>
    <row r="789" spans="2:28" ht="14.25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</row>
    <row r="790" spans="2:28" ht="14.25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</row>
    <row r="791" spans="2:28" ht="14.25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</row>
    <row r="792" spans="2:28" ht="14.25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</row>
    <row r="793" spans="2:28" ht="14.25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</row>
    <row r="794" spans="2:28" ht="14.25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</row>
    <row r="795" spans="2:28" ht="14.25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</row>
    <row r="796" spans="2:28" ht="14.25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</row>
    <row r="797" spans="2:28" ht="14.25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</row>
    <row r="798" spans="2:28" ht="14.25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</row>
    <row r="799" spans="2:28" ht="14.25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</row>
    <row r="800" spans="2:28" ht="14.25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</row>
    <row r="801" spans="2:28" ht="14.25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</row>
    <row r="802" spans="2:28" ht="14.25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</row>
    <row r="803" spans="2:28" ht="14.25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</row>
    <row r="804" spans="2:28" ht="14.25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</row>
    <row r="805" spans="2:28" ht="14.25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</row>
    <row r="806" spans="2:28" ht="14.25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</row>
    <row r="807" spans="2:28" ht="14.25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</row>
    <row r="808" spans="2:28" ht="14.25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</row>
    <row r="809" spans="2:28" ht="14.25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</row>
    <row r="810" spans="2:28" ht="14.25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</row>
    <row r="811" spans="2:28" ht="14.25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</row>
    <row r="812" spans="2:28" ht="14.25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</row>
    <row r="813" spans="2:28" ht="14.25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</row>
    <row r="814" spans="2:28" ht="14.25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</row>
    <row r="815" spans="2:28" ht="14.25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</row>
    <row r="816" spans="2:28" ht="14.25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</row>
    <row r="817" spans="2:28" ht="14.25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</row>
    <row r="818" spans="2:28" ht="14.25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</row>
    <row r="819" spans="2:28" ht="14.25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</row>
    <row r="820" spans="2:28" ht="14.25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</row>
    <row r="821" spans="2:28" ht="14.25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</row>
    <row r="822" spans="2:28" ht="14.25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</row>
    <row r="823" spans="2:28" ht="14.25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</row>
    <row r="824" spans="2:28" ht="14.25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</row>
    <row r="825" spans="2:28" ht="14.25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</row>
    <row r="826" spans="2:28" ht="14.25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</row>
    <row r="827" spans="2:28" ht="14.25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</row>
    <row r="828" spans="2:28" ht="14.25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</row>
    <row r="829" spans="2:28" ht="14.25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</row>
    <row r="830" spans="2:28" ht="14.25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</row>
    <row r="831" spans="2:28" ht="14.25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</row>
    <row r="832" spans="2:28" ht="14.25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</row>
    <row r="833" spans="2:28" ht="14.25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</row>
    <row r="834" spans="2:28" ht="14.25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</row>
    <row r="835" spans="2:28" ht="14.25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</row>
    <row r="836" spans="2:28" ht="14.25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</row>
    <row r="837" spans="2:28" ht="14.25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</row>
    <row r="838" spans="2:28" ht="14.25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</row>
    <row r="839" spans="2:28" ht="14.25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</row>
    <row r="840" spans="2:28" ht="14.25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</row>
    <row r="841" spans="2:28" ht="14.25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</row>
    <row r="842" spans="2:28" ht="14.25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</row>
    <row r="843" spans="2:28" ht="14.25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</row>
    <row r="844" spans="2:28" ht="14.25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</row>
    <row r="845" spans="2:28" ht="14.25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</row>
    <row r="846" spans="2:28" ht="14.25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</row>
    <row r="847" spans="2:28" ht="14.25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</row>
    <row r="848" spans="2:28" ht="14.25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</row>
    <row r="849" spans="2:28" ht="14.25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</row>
    <row r="850" spans="2:28" ht="14.25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</row>
    <row r="851" spans="2:28" ht="14.25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</row>
    <row r="852" spans="2:28" ht="14.25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</row>
    <row r="853" spans="2:28" ht="14.25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</row>
    <row r="854" spans="2:28" ht="14.25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</row>
    <row r="855" spans="2:28" ht="14.25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</row>
    <row r="856" spans="2:28" ht="14.25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</row>
    <row r="857" spans="2:28" ht="14.25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</row>
    <row r="858" spans="2:28" ht="14.25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</row>
    <row r="859" spans="2:28" ht="14.25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</row>
    <row r="860" spans="2:28" ht="14.25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</row>
    <row r="861" spans="2:28" ht="14.25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</row>
    <row r="862" spans="2:28" ht="14.25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</row>
    <row r="863" spans="2:28" ht="14.25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</row>
    <row r="864" spans="2:28" ht="14.25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</row>
    <row r="865" spans="2:28" ht="14.25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</row>
    <row r="866" spans="2:28" ht="14.25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</row>
    <row r="867" spans="2:28" ht="14.25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</row>
    <row r="868" spans="2:28" ht="14.25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</row>
    <row r="869" spans="2:28" ht="14.25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</row>
    <row r="870" spans="2:28" ht="14.25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</row>
    <row r="871" spans="2:28" ht="14.25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</row>
    <row r="872" spans="2:28" ht="14.25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</row>
    <row r="873" spans="2:28" ht="14.25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</row>
    <row r="874" spans="2:28" ht="14.25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</row>
    <row r="875" spans="2:28" ht="14.25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</row>
    <row r="876" spans="2:28" ht="14.25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</row>
    <row r="877" spans="2:28" ht="14.25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</row>
    <row r="878" spans="2:28" ht="14.25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</row>
    <row r="879" spans="2:28" ht="14.25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</row>
    <row r="880" spans="2:28" ht="14.25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</row>
    <row r="881" spans="2:28" ht="14.25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</row>
    <row r="882" spans="2:28" ht="14.25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</row>
    <row r="883" spans="2:28" ht="14.25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</row>
    <row r="884" spans="2:28" ht="14.25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</row>
    <row r="885" spans="2:28" ht="14.25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</row>
    <row r="886" spans="2:28" ht="14.25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</row>
    <row r="887" spans="2:28" ht="14.25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</row>
    <row r="888" spans="2:28" ht="14.25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</row>
    <row r="889" spans="2:28" ht="14.25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</row>
    <row r="890" spans="2:28" ht="14.25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</row>
    <row r="891" spans="2:28" ht="14.25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</row>
    <row r="892" spans="2:28" ht="14.25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</row>
    <row r="893" spans="2:28" ht="14.25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</row>
    <row r="894" spans="2:28" ht="14.25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</row>
    <row r="895" spans="2:28" ht="14.25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</row>
    <row r="896" spans="2:28" ht="14.25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</row>
    <row r="897" spans="2:28" ht="14.25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</row>
    <row r="898" spans="2:28" ht="14.25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</row>
    <row r="899" spans="2:28" ht="14.25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</row>
    <row r="900" spans="2:28" ht="14.25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</row>
    <row r="901" spans="2:28" ht="14.25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</row>
    <row r="902" spans="2:28" ht="14.25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</row>
    <row r="903" spans="2:28" ht="14.25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</row>
    <row r="904" spans="2:28" ht="14.25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</row>
    <row r="905" spans="2:28" ht="14.25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</row>
    <row r="906" spans="2:28" ht="14.25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</row>
    <row r="907" spans="2:28" ht="14.25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</row>
    <row r="908" spans="2:28" ht="14.25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</row>
    <row r="909" spans="2:28" ht="14.25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</row>
    <row r="910" spans="2:28" ht="14.25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</row>
    <row r="911" spans="2:28" ht="14.25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</row>
    <row r="912" spans="2:28" ht="14.25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</row>
    <row r="913" spans="2:28" ht="14.25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</row>
    <row r="914" spans="2:28" ht="14.25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</row>
    <row r="915" spans="2:28" ht="14.25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</row>
    <row r="916" spans="2:28" ht="14.25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</row>
    <row r="917" spans="2:28" ht="14.25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</row>
    <row r="918" spans="2:28" ht="14.25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</row>
    <row r="919" spans="2:28" ht="14.25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</row>
    <row r="920" spans="2:28" ht="14.25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</row>
    <row r="921" spans="2:28" ht="14.25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</row>
    <row r="922" spans="2:28" ht="14.25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</row>
    <row r="923" spans="2:28" ht="14.25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</row>
    <row r="924" spans="2:28" ht="14.25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</row>
    <row r="925" spans="2:28" ht="14.25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</row>
    <row r="926" spans="2:28" ht="14.25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</row>
    <row r="927" spans="2:28" ht="14.25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</row>
    <row r="928" spans="2:28" ht="14.25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</row>
    <row r="929" spans="2:28" ht="14.25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</row>
    <row r="930" spans="2:28" ht="14.25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</row>
    <row r="931" spans="2:28" ht="14.25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</row>
    <row r="932" spans="2:28" ht="14.25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</row>
    <row r="933" spans="2:28" ht="14.25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</row>
    <row r="934" spans="2:28" ht="14.25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</row>
    <row r="935" spans="2:28" ht="14.25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</row>
    <row r="936" spans="2:28" ht="14.25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</row>
    <row r="937" spans="2:28" ht="14.25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</row>
  </sheetData>
  <sheetProtection/>
  <printOptions/>
  <pageMargins left="0.7" right="0.7" top="0.75" bottom="0.75" header="0.3" footer="0.3"/>
  <pageSetup fitToHeight="8" fitToWidth="4" horizontalDpi="600" verticalDpi="600" orientation="portrait" scale="55" r:id="rId1"/>
  <headerFooter alignWithMargins="0">
    <oddHeader>&amp;RSTATEMENT AG-3-2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7"/>
  <sheetViews>
    <sheetView showOutlineSymbols="0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12.7109375" defaultRowHeight="15"/>
  <cols>
    <col min="1" max="1" width="4.7109375" style="2" customWidth="1"/>
    <col min="2" max="2" width="51.28125" style="4" customWidth="1"/>
    <col min="3" max="7" width="15.7109375" style="4" customWidth="1"/>
    <col min="8" max="8" width="2.7109375" style="4" customWidth="1"/>
    <col min="9" max="11" width="15.7109375" style="4" customWidth="1"/>
    <col min="12" max="12" width="2.7109375" style="4" customWidth="1"/>
    <col min="13" max="15" width="15.7109375" style="4" customWidth="1"/>
    <col min="16" max="16" width="2.7109375" style="4" customWidth="1"/>
    <col min="17" max="19" width="15.7109375" style="4" customWidth="1"/>
    <col min="20" max="16384" width="12.7109375" style="4" customWidth="1"/>
  </cols>
  <sheetData>
    <row r="1" spans="2:19" ht="14.25">
      <c r="B1" s="3" t="s">
        <v>513</v>
      </c>
      <c r="G1" s="5"/>
      <c r="H1" s="5"/>
      <c r="I1" s="5"/>
      <c r="J1" s="5"/>
      <c r="K1" s="5"/>
      <c r="L1" s="5"/>
      <c r="S1" s="5"/>
    </row>
    <row r="2" spans="2:19" ht="14.25">
      <c r="B2" s="3" t="s">
        <v>1</v>
      </c>
      <c r="G2" s="5"/>
      <c r="H2" s="5"/>
      <c r="I2" s="5"/>
      <c r="J2" s="5"/>
      <c r="K2" s="5"/>
      <c r="L2" s="5"/>
      <c r="S2" s="14"/>
    </row>
    <row r="3" ht="14.25">
      <c r="B3" s="3" t="s">
        <v>579</v>
      </c>
    </row>
    <row r="4" spans="7:12" ht="14.25">
      <c r="G4" s="6" t="s">
        <v>2</v>
      </c>
      <c r="H4" s="6"/>
      <c r="I4" s="6"/>
      <c r="J4" s="6"/>
      <c r="K4" s="6"/>
      <c r="L4" s="6"/>
    </row>
    <row r="5" ht="14.25">
      <c r="B5" s="7"/>
    </row>
    <row r="8" spans="2:19" ht="14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/>
      <c r="I8" s="8" t="s">
        <v>9</v>
      </c>
      <c r="J8" s="8" t="s">
        <v>10</v>
      </c>
      <c r="K8" s="8" t="s">
        <v>11</v>
      </c>
      <c r="L8" s="8"/>
      <c r="M8" s="8" t="s">
        <v>12</v>
      </c>
      <c r="N8" s="8" t="s">
        <v>13</v>
      </c>
      <c r="O8" s="8" t="s">
        <v>14</v>
      </c>
      <c r="Q8" s="8" t="s">
        <v>15</v>
      </c>
      <c r="R8" s="8" t="s">
        <v>16</v>
      </c>
      <c r="S8" s="8" t="s">
        <v>17</v>
      </c>
    </row>
    <row r="10" spans="3:19" ht="14.25">
      <c r="C10" s="9" t="s">
        <v>18</v>
      </c>
      <c r="D10" s="9"/>
      <c r="E10" s="10" t="s">
        <v>19</v>
      </c>
      <c r="F10" s="9"/>
      <c r="G10" s="11" t="s">
        <v>20</v>
      </c>
      <c r="H10" s="11"/>
      <c r="I10" s="12" t="s">
        <v>21</v>
      </c>
      <c r="J10" s="9"/>
      <c r="K10" s="9"/>
      <c r="L10" s="11"/>
      <c r="M10" s="32" t="s">
        <v>530</v>
      </c>
      <c r="N10" s="9"/>
      <c r="O10" s="9"/>
      <c r="Q10" s="32" t="s">
        <v>580</v>
      </c>
      <c r="R10" s="9"/>
      <c r="S10" s="9"/>
    </row>
    <row r="11" spans="3:19" ht="14.25">
      <c r="C11" s="13"/>
      <c r="D11" s="13"/>
      <c r="G11" s="11" t="s">
        <v>22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4.25"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24</v>
      </c>
      <c r="H12" s="11"/>
      <c r="L12" s="11"/>
    </row>
    <row r="13" spans="2:19" ht="14.25">
      <c r="B13" s="8" t="s">
        <v>25</v>
      </c>
      <c r="C13" s="8" t="s">
        <v>531</v>
      </c>
      <c r="D13" s="8" t="s">
        <v>581</v>
      </c>
      <c r="E13" s="8" t="str">
        <f>C13</f>
        <v>OF 12-31-13</v>
      </c>
      <c r="F13" s="8" t="str">
        <f>E13</f>
        <v>OF 12-31-13</v>
      </c>
      <c r="G13" s="8" t="s">
        <v>26</v>
      </c>
      <c r="H13" s="8"/>
      <c r="I13" s="8" t="s">
        <v>27</v>
      </c>
      <c r="J13" s="8" t="s">
        <v>28</v>
      </c>
      <c r="K13" s="8" t="s">
        <v>29</v>
      </c>
      <c r="L13" s="8"/>
      <c r="M13" s="8" t="s">
        <v>27</v>
      </c>
      <c r="N13" s="8" t="s">
        <v>28</v>
      </c>
      <c r="O13" s="8" t="s">
        <v>29</v>
      </c>
      <c r="Q13" s="8" t="s">
        <v>27</v>
      </c>
      <c r="R13" s="8" t="s">
        <v>28</v>
      </c>
      <c r="S13" s="8" t="s">
        <v>29</v>
      </c>
    </row>
    <row r="14" spans="1:18" ht="14.25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9" ht="14.25">
      <c r="A15" s="17">
        <v>1</v>
      </c>
      <c r="B15" s="5" t="s">
        <v>36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4.25">
      <c r="A16" s="17">
        <f aca="true" t="shared" si="0" ref="A16:A77">A15+1</f>
        <v>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4.25">
      <c r="A17" s="17">
        <f t="shared" si="0"/>
        <v>3</v>
      </c>
      <c r="B17" s="14" t="s">
        <v>406</v>
      </c>
      <c r="C17" s="15">
        <f>SUM(M17:O17)</f>
        <v>35141618.95</v>
      </c>
      <c r="D17" s="15">
        <f>SUM(Q17:S17)</f>
        <v>38975148.2</v>
      </c>
      <c r="E17" s="15"/>
      <c r="F17" s="15"/>
      <c r="G17" s="15">
        <f>ROUND(SUM(C17:F17)/2,0)</f>
        <v>37058384</v>
      </c>
      <c r="H17" s="15"/>
      <c r="I17" s="15">
        <f>ROUND((M17+Q17)/2,0)</f>
        <v>0</v>
      </c>
      <c r="J17" s="15">
        <f>ROUND((N17+R17)/2,0)</f>
        <v>20144199</v>
      </c>
      <c r="K17" s="15">
        <f>ROUND((O17+S17)/2,0)</f>
        <v>16914185</v>
      </c>
      <c r="L17" s="15"/>
      <c r="M17" s="81">
        <v>0</v>
      </c>
      <c r="N17" s="81">
        <f>19517507+537</f>
        <v>19518044</v>
      </c>
      <c r="O17" s="81">
        <f>15625465.95-1891</f>
        <v>15623574.95</v>
      </c>
      <c r="P17" s="15"/>
      <c r="Q17" s="81">
        <v>0</v>
      </c>
      <c r="R17" s="81">
        <f>20769936.15+418</f>
        <v>20770354.15</v>
      </c>
      <c r="S17" s="81">
        <f>18207677.05-2883</f>
        <v>18204794.05</v>
      </c>
    </row>
    <row r="18" spans="1:19" ht="14.25">
      <c r="A18" s="17">
        <f t="shared" si="0"/>
        <v>4</v>
      </c>
      <c r="B18" s="14" t="s">
        <v>514</v>
      </c>
      <c r="C18" s="15">
        <f aca="true" t="shared" si="1" ref="C18:C26">SUM(M18:O18)</f>
        <v>3880.45</v>
      </c>
      <c r="D18" s="15">
        <f aca="true" t="shared" si="2" ref="D18:D26">SUM(Q18:S18)</f>
        <v>3396.75</v>
      </c>
      <c r="E18" s="15"/>
      <c r="F18" s="15"/>
      <c r="G18" s="15">
        <f>ROUND(SUM(C18:F18)/2,0)</f>
        <v>3639</v>
      </c>
      <c r="H18" s="15"/>
      <c r="I18" s="15">
        <f aca="true" t="shared" si="3" ref="I18:K27">ROUND((M18+Q18)/2,0)</f>
        <v>0</v>
      </c>
      <c r="J18" s="15">
        <f t="shared" si="3"/>
        <v>1773</v>
      </c>
      <c r="K18" s="15">
        <f t="shared" si="3"/>
        <v>1866</v>
      </c>
      <c r="L18" s="15"/>
      <c r="M18" s="81">
        <v>0</v>
      </c>
      <c r="N18" s="81">
        <v>1890.35</v>
      </c>
      <c r="O18" s="81">
        <v>1990.1</v>
      </c>
      <c r="P18" s="15"/>
      <c r="Q18" s="81">
        <v>0</v>
      </c>
      <c r="R18" s="81">
        <v>1654.8</v>
      </c>
      <c r="S18" s="81">
        <v>1741.95</v>
      </c>
    </row>
    <row r="19" spans="1:19" ht="14.25">
      <c r="A19" s="17">
        <f t="shared" si="0"/>
        <v>5</v>
      </c>
      <c r="B19" s="14" t="s">
        <v>39</v>
      </c>
      <c r="C19" s="15">
        <f t="shared" si="1"/>
        <v>0</v>
      </c>
      <c r="D19" s="15">
        <f t="shared" si="2"/>
        <v>2538.55</v>
      </c>
      <c r="E19" s="15"/>
      <c r="F19" s="15"/>
      <c r="G19" s="15">
        <f>ROUND(SUM(C19:F19)/2,0)</f>
        <v>1269</v>
      </c>
      <c r="H19" s="15"/>
      <c r="I19" s="15">
        <f t="shared" si="3"/>
        <v>0</v>
      </c>
      <c r="J19" s="15">
        <f t="shared" si="3"/>
        <v>1269</v>
      </c>
      <c r="K19" s="15">
        <f t="shared" si="3"/>
        <v>0</v>
      </c>
      <c r="L19" s="15"/>
      <c r="M19" s="81">
        <v>0</v>
      </c>
      <c r="N19" s="81">
        <v>0</v>
      </c>
      <c r="O19" s="81">
        <v>0</v>
      </c>
      <c r="P19" s="15"/>
      <c r="Q19" s="81">
        <v>0</v>
      </c>
      <c r="R19" s="81">
        <v>2538.55</v>
      </c>
      <c r="S19" s="81">
        <v>0</v>
      </c>
    </row>
    <row r="20" spans="1:19" ht="14.25">
      <c r="A20" s="17">
        <f t="shared" si="0"/>
        <v>6</v>
      </c>
      <c r="B20" s="14" t="s">
        <v>515</v>
      </c>
      <c r="C20" s="15">
        <f t="shared" si="1"/>
        <v>6385.4</v>
      </c>
      <c r="D20" s="15">
        <f t="shared" si="2"/>
        <v>5604.55</v>
      </c>
      <c r="E20" s="15"/>
      <c r="F20" s="15"/>
      <c r="G20" s="15">
        <f>ROUND(SUM(C20:F20)/2,0)</f>
        <v>5995</v>
      </c>
      <c r="H20" s="15"/>
      <c r="I20" s="15">
        <f t="shared" si="3"/>
        <v>0</v>
      </c>
      <c r="J20" s="15">
        <f t="shared" si="3"/>
        <v>0</v>
      </c>
      <c r="K20" s="15">
        <f t="shared" si="3"/>
        <v>5995</v>
      </c>
      <c r="L20" s="15"/>
      <c r="M20" s="81">
        <v>0</v>
      </c>
      <c r="N20" s="81">
        <v>0</v>
      </c>
      <c r="O20" s="95">
        <v>6385.4</v>
      </c>
      <c r="P20" s="15"/>
      <c r="Q20" s="81">
        <v>0</v>
      </c>
      <c r="R20" s="81">
        <v>0</v>
      </c>
      <c r="S20" s="95">
        <v>5604.55</v>
      </c>
    </row>
    <row r="21" spans="1:19" ht="14.25">
      <c r="A21" s="17">
        <f t="shared" si="0"/>
        <v>7</v>
      </c>
      <c r="B21" s="14" t="s">
        <v>516</v>
      </c>
      <c r="C21" s="15">
        <f t="shared" si="1"/>
        <v>-1578.13</v>
      </c>
      <c r="D21" s="15">
        <f t="shared" si="2"/>
        <v>-1870.1999999999998</v>
      </c>
      <c r="E21" s="15"/>
      <c r="F21" s="15"/>
      <c r="G21" s="15">
        <f>ROUND(SUM(C21:F21)/2,0)</f>
        <v>-1724</v>
      </c>
      <c r="H21" s="15"/>
      <c r="I21" s="15">
        <f t="shared" si="3"/>
        <v>0</v>
      </c>
      <c r="J21" s="15">
        <f t="shared" si="3"/>
        <v>-635</v>
      </c>
      <c r="K21" s="15">
        <f t="shared" si="3"/>
        <v>-1089</v>
      </c>
      <c r="L21" s="15"/>
      <c r="M21" s="81">
        <v>0</v>
      </c>
      <c r="N21" s="81">
        <v>-592.79</v>
      </c>
      <c r="O21" s="81">
        <v>-985.34</v>
      </c>
      <c r="P21" s="15"/>
      <c r="Q21" s="81">
        <v>0</v>
      </c>
      <c r="R21" s="81">
        <v>-677.38</v>
      </c>
      <c r="S21" s="81">
        <v>-1192.82</v>
      </c>
    </row>
    <row r="22" spans="1:19" ht="14.25">
      <c r="A22" s="17">
        <f t="shared" si="0"/>
        <v>8</v>
      </c>
      <c r="B22" s="14" t="s">
        <v>42</v>
      </c>
      <c r="C22" s="15">
        <f t="shared" si="1"/>
        <v>1020776.72</v>
      </c>
      <c r="D22" s="15">
        <f t="shared" si="2"/>
        <v>1897870.62</v>
      </c>
      <c r="E22" s="15"/>
      <c r="F22" s="15"/>
      <c r="G22" s="15">
        <f aca="true" t="shared" si="4" ref="G22:G29">ROUND(SUM(C22:F22)/2,0)</f>
        <v>1459324</v>
      </c>
      <c r="H22" s="15"/>
      <c r="I22" s="15">
        <f t="shared" si="3"/>
        <v>0</v>
      </c>
      <c r="J22" s="15">
        <f t="shared" si="3"/>
        <v>255927</v>
      </c>
      <c r="K22" s="15">
        <f t="shared" si="3"/>
        <v>1203397</v>
      </c>
      <c r="L22" s="15"/>
      <c r="M22" s="81">
        <v>0</v>
      </c>
      <c r="N22" s="81">
        <f>399888.8-136754</f>
        <v>263134.8</v>
      </c>
      <c r="O22" s="95">
        <f>1312633.92-554992</f>
        <v>757641.9199999999</v>
      </c>
      <c r="P22" s="15"/>
      <c r="Q22" s="81">
        <v>0</v>
      </c>
      <c r="R22" s="81">
        <f>398741.5-150023</f>
        <v>248718.5</v>
      </c>
      <c r="S22" s="95">
        <f>2297125.12-647973</f>
        <v>1649152.12</v>
      </c>
    </row>
    <row r="23" spans="1:19" ht="14.25">
      <c r="A23" s="17">
        <f t="shared" si="0"/>
        <v>9</v>
      </c>
      <c r="B23" s="5" t="s">
        <v>43</v>
      </c>
      <c r="C23" s="15">
        <f t="shared" si="1"/>
        <v>260938.99</v>
      </c>
      <c r="D23" s="15">
        <f t="shared" si="2"/>
        <v>252543.72</v>
      </c>
      <c r="E23" s="15"/>
      <c r="F23" s="15"/>
      <c r="G23" s="15">
        <f t="shared" si="4"/>
        <v>256741</v>
      </c>
      <c r="H23" s="15"/>
      <c r="I23" s="15">
        <f t="shared" si="3"/>
        <v>0</v>
      </c>
      <c r="J23" s="15">
        <f t="shared" si="3"/>
        <v>69997</v>
      </c>
      <c r="K23" s="15">
        <f t="shared" si="3"/>
        <v>186744</v>
      </c>
      <c r="L23" s="15"/>
      <c r="M23" s="81">
        <v>0</v>
      </c>
      <c r="N23" s="95">
        <f>96816.25-26778</f>
        <v>70038.25</v>
      </c>
      <c r="O23" s="95">
        <f>293682.74-102782</f>
        <v>190900.74</v>
      </c>
      <c r="P23" s="15"/>
      <c r="Q23" s="81">
        <v>0</v>
      </c>
      <c r="R23" s="95">
        <f>100009.53-30053</f>
        <v>69956.53</v>
      </c>
      <c r="S23" s="95">
        <f>295103.19-112516</f>
        <v>182587.19</v>
      </c>
    </row>
    <row r="24" spans="1:19" ht="14.25">
      <c r="A24" s="17">
        <f t="shared" si="0"/>
        <v>10</v>
      </c>
      <c r="B24" s="5" t="s">
        <v>47</v>
      </c>
      <c r="C24" s="15">
        <f t="shared" si="1"/>
        <v>1.2699999999999996</v>
      </c>
      <c r="D24" s="15">
        <f t="shared" si="2"/>
        <v>0.9199999999999999</v>
      </c>
      <c r="E24" s="15"/>
      <c r="F24" s="15"/>
      <c r="G24" s="15">
        <f t="shared" si="4"/>
        <v>1</v>
      </c>
      <c r="H24" s="15"/>
      <c r="I24" s="15">
        <f t="shared" si="3"/>
        <v>0</v>
      </c>
      <c r="J24" s="15">
        <f t="shared" si="3"/>
        <v>5</v>
      </c>
      <c r="K24" s="15">
        <f t="shared" si="3"/>
        <v>-4</v>
      </c>
      <c r="L24" s="15"/>
      <c r="M24" s="81">
        <v>0</v>
      </c>
      <c r="N24" s="81">
        <v>5.47</v>
      </c>
      <c r="O24" s="81">
        <v>-4.2</v>
      </c>
      <c r="P24" s="15"/>
      <c r="Q24" s="81">
        <v>0</v>
      </c>
      <c r="R24" s="81">
        <v>5.12</v>
      </c>
      <c r="S24" s="81">
        <v>-4.2</v>
      </c>
    </row>
    <row r="25" spans="1:19" ht="14.25">
      <c r="A25" s="17">
        <f t="shared" si="0"/>
        <v>11</v>
      </c>
      <c r="B25" s="14" t="s">
        <v>517</v>
      </c>
      <c r="C25" s="15">
        <f t="shared" si="1"/>
        <v>217541.44999999998</v>
      </c>
      <c r="D25" s="15">
        <f t="shared" si="2"/>
        <v>258745.65</v>
      </c>
      <c r="E25" s="15"/>
      <c r="F25" s="15"/>
      <c r="G25" s="15">
        <f t="shared" si="4"/>
        <v>238144</v>
      </c>
      <c r="H25" s="15"/>
      <c r="I25" s="15">
        <f t="shared" si="3"/>
        <v>0</v>
      </c>
      <c r="J25" s="15">
        <f t="shared" si="3"/>
        <v>26256</v>
      </c>
      <c r="K25" s="15">
        <f t="shared" si="3"/>
        <v>211888</v>
      </c>
      <c r="L25" s="15"/>
      <c r="M25" s="81">
        <v>0</v>
      </c>
      <c r="N25" s="81">
        <f>29208.9-2465</f>
        <v>26743.9</v>
      </c>
      <c r="O25" s="81">
        <f>261468.55-70671</f>
        <v>190797.55</v>
      </c>
      <c r="P25" s="15"/>
      <c r="Q25" s="81">
        <v>0</v>
      </c>
      <c r="R25" s="81">
        <f>29208.9-3441</f>
        <v>25767.9</v>
      </c>
      <c r="S25" s="81">
        <f>315043.75-82066</f>
        <v>232977.75</v>
      </c>
    </row>
    <row r="26" spans="1:19" ht="14.25">
      <c r="A26" s="17">
        <f t="shared" si="0"/>
        <v>12</v>
      </c>
      <c r="B26" s="14" t="s">
        <v>52</v>
      </c>
      <c r="C26" s="15">
        <f t="shared" si="1"/>
        <v>38281.81</v>
      </c>
      <c r="D26" s="15">
        <f t="shared" si="2"/>
        <v>33001.53</v>
      </c>
      <c r="E26" s="15"/>
      <c r="F26" s="15"/>
      <c r="G26" s="15">
        <f t="shared" si="4"/>
        <v>35642</v>
      </c>
      <c r="H26" s="15"/>
      <c r="I26" s="15">
        <f t="shared" si="3"/>
        <v>0</v>
      </c>
      <c r="J26" s="15">
        <f t="shared" si="3"/>
        <v>0</v>
      </c>
      <c r="K26" s="15">
        <f t="shared" si="3"/>
        <v>35642</v>
      </c>
      <c r="L26" s="15"/>
      <c r="M26" s="81">
        <v>0</v>
      </c>
      <c r="N26" s="81">
        <v>0</v>
      </c>
      <c r="O26" s="81">
        <v>38281.81</v>
      </c>
      <c r="P26" s="15"/>
      <c r="Q26" s="81">
        <v>0</v>
      </c>
      <c r="R26" s="81">
        <v>0</v>
      </c>
      <c r="S26" s="81">
        <v>33001.53</v>
      </c>
    </row>
    <row r="27" spans="1:19" ht="14.25">
      <c r="A27" s="17">
        <f t="shared" si="0"/>
        <v>13</v>
      </c>
      <c r="B27" s="14" t="s">
        <v>55</v>
      </c>
      <c r="C27" s="15">
        <f>SUM(M27:O27)</f>
        <v>2074.8</v>
      </c>
      <c r="D27" s="15">
        <f>SUM(Q27:S27)</f>
        <v>0</v>
      </c>
      <c r="E27" s="15"/>
      <c r="F27" s="15"/>
      <c r="G27" s="15">
        <f>ROUND(SUM(C27:F27)/2,0)</f>
        <v>1037</v>
      </c>
      <c r="H27" s="15"/>
      <c r="I27" s="15">
        <f t="shared" si="3"/>
        <v>0</v>
      </c>
      <c r="J27" s="15">
        <f t="shared" si="3"/>
        <v>0</v>
      </c>
      <c r="K27" s="15">
        <f t="shared" si="3"/>
        <v>1037</v>
      </c>
      <c r="L27" s="15"/>
      <c r="M27" s="81">
        <v>0</v>
      </c>
      <c r="N27" s="81">
        <v>0</v>
      </c>
      <c r="O27" s="81">
        <v>2074.8</v>
      </c>
      <c r="P27" s="15"/>
      <c r="Q27" s="81">
        <v>0</v>
      </c>
      <c r="R27" s="81">
        <v>0</v>
      </c>
      <c r="S27" s="81">
        <v>0</v>
      </c>
    </row>
    <row r="28" spans="1:19" ht="14.25">
      <c r="A28" s="17">
        <f t="shared" si="0"/>
        <v>14</v>
      </c>
      <c r="B28" s="5" t="s">
        <v>63</v>
      </c>
      <c r="C28" s="81">
        <v>4053479.9</v>
      </c>
      <c r="D28" s="81">
        <v>4338397.74</v>
      </c>
      <c r="E28" s="15">
        <f>-C28</f>
        <v>-4053479.9</v>
      </c>
      <c r="F28" s="15">
        <f>-D28</f>
        <v>-4338397.74</v>
      </c>
      <c r="G28" s="15">
        <f t="shared" si="4"/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4.25">
      <c r="A29" s="17">
        <f t="shared" si="0"/>
        <v>15</v>
      </c>
      <c r="B29" s="5" t="s">
        <v>64</v>
      </c>
      <c r="C29" s="81">
        <v>1354</v>
      </c>
      <c r="D29" s="81">
        <v>2465</v>
      </c>
      <c r="E29" s="15">
        <f>-C29</f>
        <v>-1354</v>
      </c>
      <c r="F29" s="15">
        <f>-D29</f>
        <v>-2465</v>
      </c>
      <c r="G29" s="15">
        <f t="shared" si="4"/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4.25">
      <c r="A30" s="17">
        <f t="shared" si="0"/>
        <v>16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5" thickBot="1">
      <c r="A31" s="17">
        <f t="shared" si="0"/>
        <v>17</v>
      </c>
      <c r="B31" s="5" t="s">
        <v>65</v>
      </c>
      <c r="C31" s="18">
        <f>SUM(C17:C30)</f>
        <v>40744755.61000001</v>
      </c>
      <c r="D31" s="18">
        <f>SUM(D17:D30)</f>
        <v>45767843.029999994</v>
      </c>
      <c r="E31" s="18">
        <f>SUM(E17:E30)</f>
        <v>-4054833.9</v>
      </c>
      <c r="F31" s="18">
        <f>SUM(F17:F30)</f>
        <v>-4340862.74</v>
      </c>
      <c r="G31" s="18">
        <f>SUM(G17:G30)</f>
        <v>39058452</v>
      </c>
      <c r="H31" s="18"/>
      <c r="I31" s="18">
        <f>SUM(I17:I30)</f>
        <v>0</v>
      </c>
      <c r="J31" s="18">
        <f>SUM(J17:J30)</f>
        <v>20498791</v>
      </c>
      <c r="K31" s="18">
        <f>SUM(K17:K30)</f>
        <v>18559661</v>
      </c>
      <c r="L31" s="18"/>
      <c r="M31" s="18">
        <f>SUM(M17:M30)</f>
        <v>0</v>
      </c>
      <c r="N31" s="18">
        <f>SUM(N17:N30)</f>
        <v>19879263.98</v>
      </c>
      <c r="O31" s="18">
        <f>SUM(O17:O30)</f>
        <v>16810657.73</v>
      </c>
      <c r="P31" s="15"/>
      <c r="Q31" s="18">
        <f>SUM(Q17:Q30)</f>
        <v>0</v>
      </c>
      <c r="R31" s="18">
        <f>SUM(R17:R30)</f>
        <v>21118318.17</v>
      </c>
      <c r="S31" s="18">
        <f>SUM(S17:S30)</f>
        <v>20308662.120000005</v>
      </c>
    </row>
    <row r="32" spans="1:19" ht="15" thickTop="1">
      <c r="A32" s="17">
        <f t="shared" si="0"/>
        <v>18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5"/>
      <c r="Q32" s="19"/>
      <c r="R32" s="19"/>
      <c r="S32" s="19"/>
    </row>
    <row r="33" spans="1:19" ht="14.25">
      <c r="A33" s="17">
        <f t="shared" si="0"/>
        <v>19</v>
      </c>
      <c r="B33" s="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4.25">
      <c r="A34" s="17">
        <f t="shared" si="0"/>
        <v>20</v>
      </c>
      <c r="B34" s="14" t="s">
        <v>66</v>
      </c>
      <c r="C34" s="15" t="s">
        <v>67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4.25">
      <c r="A35" s="17">
        <f t="shared" si="0"/>
        <v>21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4.25">
      <c r="A36" s="17">
        <f t="shared" si="0"/>
        <v>22</v>
      </c>
      <c r="B36" s="14" t="s">
        <v>78</v>
      </c>
      <c r="C36" s="15">
        <f aca="true" t="shared" si="5" ref="C36:C50">SUM(M36:O36)</f>
        <v>2319876.42</v>
      </c>
      <c r="D36" s="15">
        <f aca="true" t="shared" si="6" ref="D36:D50">SUM(Q36:S36)</f>
        <v>2250825.34</v>
      </c>
      <c r="E36" s="15"/>
      <c r="F36" s="15"/>
      <c r="G36" s="15">
        <f aca="true" t="shared" si="7" ref="G36:G52">ROUND(SUM(C36:F36)/2,0)</f>
        <v>2285351</v>
      </c>
      <c r="H36" s="15"/>
      <c r="I36" s="15">
        <f>(M36+Q36)/2</f>
        <v>0</v>
      </c>
      <c r="J36" s="15">
        <f>(N36+R36)/2</f>
        <v>285477.28500000003</v>
      </c>
      <c r="K36" s="15">
        <f>(O36+S36)/2</f>
        <v>1999873.595</v>
      </c>
      <c r="L36" s="15"/>
      <c r="M36" s="81">
        <v>0</v>
      </c>
      <c r="N36" s="95">
        <v>285437.74</v>
      </c>
      <c r="O36" s="95">
        <v>2034438.68</v>
      </c>
      <c r="P36" s="15"/>
      <c r="Q36" s="81">
        <v>0</v>
      </c>
      <c r="R36" s="95">
        <v>285516.83</v>
      </c>
      <c r="S36" s="95">
        <v>1965308.51</v>
      </c>
    </row>
    <row r="37" spans="1:19" ht="14.25">
      <c r="A37" s="17">
        <f t="shared" si="0"/>
        <v>23</v>
      </c>
      <c r="B37" s="14" t="s">
        <v>79</v>
      </c>
      <c r="C37" s="15">
        <f t="shared" si="5"/>
        <v>-2701699.35</v>
      </c>
      <c r="D37" s="15">
        <f t="shared" si="6"/>
        <v>-2788375.8000000003</v>
      </c>
      <c r="E37" s="15"/>
      <c r="F37" s="15"/>
      <c r="G37" s="15">
        <f>ROUND(SUM(C37:F37)/2,0)</f>
        <v>-2745038</v>
      </c>
      <c r="H37" s="15"/>
      <c r="I37" s="15">
        <f aca="true" t="shared" si="8" ref="I37:K50">(M37+Q37)/2</f>
        <v>0</v>
      </c>
      <c r="J37" s="15">
        <f t="shared" si="8"/>
        <v>-243351.15000000002</v>
      </c>
      <c r="K37" s="15">
        <f t="shared" si="8"/>
        <v>-2501686.425</v>
      </c>
      <c r="L37" s="15"/>
      <c r="M37" s="81">
        <v>0</v>
      </c>
      <c r="N37" s="81">
        <v>-236308.45</v>
      </c>
      <c r="O37" s="81">
        <v>-2465390.9</v>
      </c>
      <c r="P37" s="15"/>
      <c r="Q37" s="81">
        <v>0</v>
      </c>
      <c r="R37" s="81">
        <v>-250393.85</v>
      </c>
      <c r="S37" s="81">
        <v>-2537981.95</v>
      </c>
    </row>
    <row r="38" spans="1:19" ht="14.25">
      <c r="A38" s="17">
        <f t="shared" si="0"/>
        <v>24</v>
      </c>
      <c r="B38" s="5" t="s">
        <v>409</v>
      </c>
      <c r="C38" s="15">
        <f t="shared" si="5"/>
        <v>0</v>
      </c>
      <c r="D38" s="15">
        <f t="shared" si="6"/>
        <v>0</v>
      </c>
      <c r="E38" s="15"/>
      <c r="F38" s="15"/>
      <c r="G38" s="15">
        <f t="shared" si="7"/>
        <v>0</v>
      </c>
      <c r="H38" s="15"/>
      <c r="I38" s="15">
        <f t="shared" si="8"/>
        <v>0</v>
      </c>
      <c r="J38" s="15">
        <f t="shared" si="8"/>
        <v>0</v>
      </c>
      <c r="K38" s="15">
        <f t="shared" si="8"/>
        <v>0</v>
      </c>
      <c r="L38" s="15"/>
      <c r="M38" s="81">
        <v>0</v>
      </c>
      <c r="N38" s="81">
        <v>0</v>
      </c>
      <c r="O38" s="81">
        <v>0</v>
      </c>
      <c r="P38" s="15"/>
      <c r="Q38" s="81">
        <v>0</v>
      </c>
      <c r="R38" s="81">
        <v>0</v>
      </c>
      <c r="S38" s="81">
        <v>0</v>
      </c>
    </row>
    <row r="39" spans="1:19" ht="14.25">
      <c r="A39" s="17">
        <f t="shared" si="0"/>
        <v>25</v>
      </c>
      <c r="B39" s="21" t="s">
        <v>394</v>
      </c>
      <c r="C39" s="15">
        <f>SUM(M39:O39)</f>
        <v>1171456.4</v>
      </c>
      <c r="D39" s="15">
        <f>SUM(Q39:S39)</f>
        <v>1171456.4</v>
      </c>
      <c r="E39" s="15"/>
      <c r="F39" s="15"/>
      <c r="G39" s="15">
        <f>ROUND(SUM(C39:F39)/2,0)</f>
        <v>1171456</v>
      </c>
      <c r="H39" s="15"/>
      <c r="I39" s="15">
        <f t="shared" si="8"/>
        <v>0</v>
      </c>
      <c r="J39" s="15">
        <f t="shared" si="8"/>
        <v>0</v>
      </c>
      <c r="K39" s="15">
        <f t="shared" si="8"/>
        <v>1171456.4</v>
      </c>
      <c r="L39" s="15"/>
      <c r="M39" s="81">
        <v>0</v>
      </c>
      <c r="N39" s="81">
        <v>0</v>
      </c>
      <c r="O39" s="81">
        <v>1171456.4</v>
      </c>
      <c r="P39" s="15"/>
      <c r="Q39" s="81">
        <v>0</v>
      </c>
      <c r="R39" s="81">
        <v>0</v>
      </c>
      <c r="S39" s="81">
        <v>1171456.4</v>
      </c>
    </row>
    <row r="40" spans="1:19" ht="14.25">
      <c r="A40" s="17">
        <f t="shared" si="0"/>
        <v>26</v>
      </c>
      <c r="B40" s="14" t="s">
        <v>518</v>
      </c>
      <c r="C40" s="15">
        <f t="shared" si="5"/>
        <v>0</v>
      </c>
      <c r="D40" s="15">
        <f t="shared" si="6"/>
        <v>0</v>
      </c>
      <c r="E40" s="15"/>
      <c r="F40" s="15"/>
      <c r="G40" s="15">
        <f t="shared" si="7"/>
        <v>0</v>
      </c>
      <c r="H40" s="15"/>
      <c r="I40" s="15">
        <f t="shared" si="8"/>
        <v>0</v>
      </c>
      <c r="J40" s="15">
        <f t="shared" si="8"/>
        <v>0</v>
      </c>
      <c r="K40" s="15">
        <f t="shared" si="8"/>
        <v>0</v>
      </c>
      <c r="L40" s="15"/>
      <c r="M40" s="81">
        <v>0</v>
      </c>
      <c r="N40" s="81">
        <v>0</v>
      </c>
      <c r="O40" s="81">
        <v>0</v>
      </c>
      <c r="P40" s="15"/>
      <c r="Q40" s="81">
        <v>0</v>
      </c>
      <c r="R40" s="81">
        <v>0</v>
      </c>
      <c r="S40" s="81">
        <v>0</v>
      </c>
    </row>
    <row r="41" spans="1:19" ht="14.25">
      <c r="A41" s="17">
        <f t="shared" si="0"/>
        <v>27</v>
      </c>
      <c r="B41" s="14" t="s">
        <v>519</v>
      </c>
      <c r="C41" s="15">
        <f>SUM(M41:O41)</f>
        <v>2701699.35</v>
      </c>
      <c r="D41" s="15">
        <f t="shared" si="6"/>
        <v>2788375.8000000003</v>
      </c>
      <c r="E41" s="15"/>
      <c r="F41" s="15"/>
      <c r="G41" s="15">
        <f t="shared" si="7"/>
        <v>2745038</v>
      </c>
      <c r="H41" s="15"/>
      <c r="I41" s="15">
        <f t="shared" si="8"/>
        <v>0</v>
      </c>
      <c r="J41" s="15">
        <f t="shared" si="8"/>
        <v>243351.15000000002</v>
      </c>
      <c r="K41" s="15">
        <f t="shared" si="8"/>
        <v>2501686.425</v>
      </c>
      <c r="L41" s="15"/>
      <c r="M41" s="81">
        <v>0</v>
      </c>
      <c r="N41" s="95">
        <v>236308.45</v>
      </c>
      <c r="O41" s="81">
        <v>2465390.9</v>
      </c>
      <c r="P41" s="15"/>
      <c r="Q41" s="81">
        <v>0</v>
      </c>
      <c r="R41" s="95">
        <v>250393.85</v>
      </c>
      <c r="S41" s="81">
        <v>2537981.95</v>
      </c>
    </row>
    <row r="42" spans="1:19" ht="14.25">
      <c r="A42" s="17">
        <f t="shared" si="0"/>
        <v>28</v>
      </c>
      <c r="B42" s="14" t="s">
        <v>88</v>
      </c>
      <c r="C42" s="15">
        <f>SUM(M42:O42)</f>
        <v>140025.39</v>
      </c>
      <c r="D42" s="15">
        <f t="shared" si="6"/>
        <v>107078.24</v>
      </c>
      <c r="E42" s="15"/>
      <c r="F42" s="15"/>
      <c r="G42" s="15">
        <f t="shared" si="7"/>
        <v>123552</v>
      </c>
      <c r="H42" s="15"/>
      <c r="I42" s="15">
        <f t="shared" si="8"/>
        <v>0</v>
      </c>
      <c r="J42" s="15">
        <f t="shared" si="8"/>
        <v>0</v>
      </c>
      <c r="K42" s="15">
        <f t="shared" si="8"/>
        <v>123551.815</v>
      </c>
      <c r="L42" s="15"/>
      <c r="M42" s="81">
        <v>0</v>
      </c>
      <c r="N42" s="95">
        <v>0</v>
      </c>
      <c r="O42" s="81">
        <v>140025.39</v>
      </c>
      <c r="P42" s="15"/>
      <c r="Q42" s="81">
        <v>0</v>
      </c>
      <c r="R42" s="95">
        <v>0</v>
      </c>
      <c r="S42" s="81">
        <v>107078.24</v>
      </c>
    </row>
    <row r="43" spans="1:19" ht="14.25">
      <c r="A43" s="17">
        <f t="shared" si="0"/>
        <v>29</v>
      </c>
      <c r="B43" s="14" t="s">
        <v>588</v>
      </c>
      <c r="C43" s="15">
        <f>SUM(M43:O43)</f>
        <v>0</v>
      </c>
      <c r="D43" s="15">
        <f t="shared" si="6"/>
        <v>474122.95</v>
      </c>
      <c r="E43" s="15"/>
      <c r="F43" s="15"/>
      <c r="G43" s="15">
        <f t="shared" si="7"/>
        <v>237061</v>
      </c>
      <c r="H43" s="15"/>
      <c r="I43" s="15">
        <f t="shared" si="8"/>
        <v>0</v>
      </c>
      <c r="J43" s="15">
        <f t="shared" si="8"/>
        <v>0</v>
      </c>
      <c r="K43" s="15">
        <f t="shared" si="8"/>
        <v>237061.475</v>
      </c>
      <c r="L43" s="15"/>
      <c r="M43" s="81">
        <v>0</v>
      </c>
      <c r="N43" s="95">
        <v>0</v>
      </c>
      <c r="O43" s="81">
        <v>0</v>
      </c>
      <c r="P43" s="15"/>
      <c r="Q43" s="81">
        <v>0</v>
      </c>
      <c r="R43" s="95">
        <v>0</v>
      </c>
      <c r="S43" s="81">
        <v>474122.95</v>
      </c>
    </row>
    <row r="44" spans="1:19" ht="14.25">
      <c r="A44" s="17">
        <f t="shared" si="0"/>
        <v>30</v>
      </c>
      <c r="B44" s="14" t="s">
        <v>589</v>
      </c>
      <c r="C44" s="15">
        <f>SUM(M44:O44)</f>
        <v>0</v>
      </c>
      <c r="D44" s="15">
        <f t="shared" si="6"/>
        <v>6757.25</v>
      </c>
      <c r="E44" s="15"/>
      <c r="F44" s="15"/>
      <c r="G44" s="15">
        <f t="shared" si="7"/>
        <v>3379</v>
      </c>
      <c r="H44" s="15"/>
      <c r="I44" s="15">
        <f t="shared" si="8"/>
        <v>0</v>
      </c>
      <c r="J44" s="15">
        <f t="shared" si="8"/>
        <v>0</v>
      </c>
      <c r="K44" s="15">
        <f t="shared" si="8"/>
        <v>3378.625</v>
      </c>
      <c r="L44" s="15"/>
      <c r="M44" s="81">
        <v>0</v>
      </c>
      <c r="N44" s="95">
        <v>0</v>
      </c>
      <c r="O44" s="81">
        <v>0</v>
      </c>
      <c r="P44" s="15"/>
      <c r="Q44" s="81">
        <v>0</v>
      </c>
      <c r="R44" s="95">
        <v>0</v>
      </c>
      <c r="S44" s="81">
        <v>6757.25</v>
      </c>
    </row>
    <row r="45" spans="1:19" ht="14.25">
      <c r="A45" s="17">
        <f t="shared" si="0"/>
        <v>31</v>
      </c>
      <c r="B45" s="14" t="s">
        <v>520</v>
      </c>
      <c r="C45" s="15">
        <f>SUM(M45:O45)</f>
        <v>63478.67</v>
      </c>
      <c r="D45" s="15">
        <f t="shared" si="6"/>
        <v>134223.82</v>
      </c>
      <c r="E45" s="15"/>
      <c r="F45" s="15"/>
      <c r="G45" s="15">
        <f t="shared" si="7"/>
        <v>98851</v>
      </c>
      <c r="H45" s="15"/>
      <c r="I45" s="15">
        <f t="shared" si="8"/>
        <v>0</v>
      </c>
      <c r="J45" s="15">
        <f t="shared" si="8"/>
        <v>0</v>
      </c>
      <c r="K45" s="15">
        <f t="shared" si="8"/>
        <v>98851.245</v>
      </c>
      <c r="L45" s="15"/>
      <c r="M45" s="81">
        <v>0</v>
      </c>
      <c r="N45" s="81">
        <v>0</v>
      </c>
      <c r="O45" s="81">
        <v>63478.67</v>
      </c>
      <c r="P45" s="15"/>
      <c r="Q45" s="81">
        <v>0</v>
      </c>
      <c r="R45" s="81">
        <v>0</v>
      </c>
      <c r="S45" s="81">
        <v>134223.82</v>
      </c>
    </row>
    <row r="46" spans="1:19" ht="14.25">
      <c r="A46" s="17">
        <f t="shared" si="0"/>
        <v>32</v>
      </c>
      <c r="B46" s="5" t="s">
        <v>282</v>
      </c>
      <c r="C46" s="15">
        <f t="shared" si="5"/>
        <v>53125.68</v>
      </c>
      <c r="D46" s="15">
        <f t="shared" si="6"/>
        <v>402711.57999999996</v>
      </c>
      <c r="E46" s="15"/>
      <c r="F46" s="15"/>
      <c r="G46" s="15">
        <f t="shared" si="7"/>
        <v>227919</v>
      </c>
      <c r="H46" s="15"/>
      <c r="I46" s="15">
        <f t="shared" si="8"/>
        <v>0</v>
      </c>
      <c r="J46" s="15">
        <f t="shared" si="8"/>
        <v>85926.155</v>
      </c>
      <c r="K46" s="15">
        <f t="shared" si="8"/>
        <v>141992.475</v>
      </c>
      <c r="L46" s="15"/>
      <c r="M46" s="81">
        <v>0</v>
      </c>
      <c r="N46" s="81">
        <v>26966.78</v>
      </c>
      <c r="O46" s="81">
        <v>26158.9</v>
      </c>
      <c r="P46" s="15"/>
      <c r="Q46" s="81">
        <v>0</v>
      </c>
      <c r="R46" s="81">
        <f>18057.53+126828</f>
        <v>144885.53</v>
      </c>
      <c r="S46" s="81">
        <f>11175.05+246651</f>
        <v>257826.05</v>
      </c>
    </row>
    <row r="47" spans="1:19" ht="14.25">
      <c r="A47" s="17">
        <f t="shared" si="0"/>
        <v>33</v>
      </c>
      <c r="B47" s="5" t="s">
        <v>292</v>
      </c>
      <c r="C47" s="15">
        <f t="shared" si="5"/>
        <v>1244</v>
      </c>
      <c r="D47" s="15">
        <f t="shared" si="6"/>
        <v>1244</v>
      </c>
      <c r="E47" s="15"/>
      <c r="F47" s="15"/>
      <c r="G47" s="15">
        <f t="shared" si="7"/>
        <v>1244</v>
      </c>
      <c r="H47" s="15"/>
      <c r="I47" s="15">
        <f t="shared" si="8"/>
        <v>0</v>
      </c>
      <c r="J47" s="15">
        <f t="shared" si="8"/>
        <v>1244</v>
      </c>
      <c r="K47" s="15">
        <f t="shared" si="8"/>
        <v>0</v>
      </c>
      <c r="L47" s="15"/>
      <c r="M47" s="81">
        <v>0</v>
      </c>
      <c r="N47" s="81">
        <v>1244</v>
      </c>
      <c r="O47" s="81">
        <v>0</v>
      </c>
      <c r="P47" s="15"/>
      <c r="Q47" s="81">
        <v>0</v>
      </c>
      <c r="R47" s="81">
        <v>1244</v>
      </c>
      <c r="S47" s="81">
        <v>0</v>
      </c>
    </row>
    <row r="48" spans="1:19" ht="14.25">
      <c r="A48" s="17">
        <f t="shared" si="0"/>
        <v>34</v>
      </c>
      <c r="B48" s="5" t="s">
        <v>104</v>
      </c>
      <c r="C48" s="15">
        <f t="shared" si="5"/>
        <v>-0.25</v>
      </c>
      <c r="D48" s="15">
        <f t="shared" si="6"/>
        <v>-0.25</v>
      </c>
      <c r="E48" s="15"/>
      <c r="F48" s="15"/>
      <c r="G48" s="15">
        <f t="shared" si="7"/>
        <v>0</v>
      </c>
      <c r="H48" s="15"/>
      <c r="I48" s="15">
        <f t="shared" si="8"/>
        <v>0</v>
      </c>
      <c r="J48" s="15">
        <f t="shared" si="8"/>
        <v>0</v>
      </c>
      <c r="K48" s="15">
        <f t="shared" si="8"/>
        <v>-0.25</v>
      </c>
      <c r="L48" s="15"/>
      <c r="M48" s="81">
        <v>0</v>
      </c>
      <c r="N48" s="81">
        <v>0</v>
      </c>
      <c r="O48" s="81">
        <v>-0.25</v>
      </c>
      <c r="P48" s="15"/>
      <c r="Q48" s="81">
        <v>0</v>
      </c>
      <c r="R48" s="81">
        <v>0</v>
      </c>
      <c r="S48" s="81">
        <v>-0.25</v>
      </c>
    </row>
    <row r="49" spans="1:19" ht="14.25">
      <c r="A49" s="17">
        <f t="shared" si="0"/>
        <v>35</v>
      </c>
      <c r="B49" s="5" t="s">
        <v>578</v>
      </c>
      <c r="C49" s="15">
        <f>SUM(M49:O49)</f>
        <v>149139.37</v>
      </c>
      <c r="D49" s="15">
        <f>SUM(Q49:S49)</f>
        <v>135581.27</v>
      </c>
      <c r="E49" s="15"/>
      <c r="F49" s="15"/>
      <c r="G49" s="15">
        <f>ROUND(SUM(C49:F49)/2,0)</f>
        <v>142360</v>
      </c>
      <c r="H49" s="15"/>
      <c r="I49" s="15">
        <f t="shared" si="8"/>
        <v>0</v>
      </c>
      <c r="J49" s="15">
        <f t="shared" si="8"/>
        <v>7832.74</v>
      </c>
      <c r="K49" s="15">
        <f t="shared" si="8"/>
        <v>134527.58</v>
      </c>
      <c r="L49" s="15"/>
      <c r="M49" s="81">
        <v>0</v>
      </c>
      <c r="N49" s="81">
        <v>8205.72</v>
      </c>
      <c r="O49" s="81">
        <v>140933.65</v>
      </c>
      <c r="P49" s="15"/>
      <c r="Q49" s="81">
        <v>0</v>
      </c>
      <c r="R49" s="81">
        <v>7459.76</v>
      </c>
      <c r="S49" s="81">
        <v>128121.51</v>
      </c>
    </row>
    <row r="50" spans="1:19" ht="14.25">
      <c r="A50" s="17">
        <f t="shared" si="0"/>
        <v>36</v>
      </c>
      <c r="B50" s="5" t="s">
        <v>105</v>
      </c>
      <c r="C50" s="15">
        <f t="shared" si="5"/>
        <v>44488.2</v>
      </c>
      <c r="D50" s="15">
        <f t="shared" si="6"/>
        <v>195213.03</v>
      </c>
      <c r="E50" s="15"/>
      <c r="F50" s="15"/>
      <c r="G50" s="15">
        <f t="shared" si="7"/>
        <v>119851</v>
      </c>
      <c r="H50" s="15"/>
      <c r="I50" s="15">
        <f t="shared" si="8"/>
        <v>0</v>
      </c>
      <c r="J50" s="15">
        <f t="shared" si="8"/>
        <v>0</v>
      </c>
      <c r="K50" s="15">
        <f t="shared" si="8"/>
        <v>119850.61499999999</v>
      </c>
      <c r="L50" s="15"/>
      <c r="M50" s="81">
        <v>0</v>
      </c>
      <c r="N50" s="81">
        <v>0</v>
      </c>
      <c r="O50" s="81">
        <v>44488.2</v>
      </c>
      <c r="P50" s="15"/>
      <c r="Q50" s="81">
        <v>0</v>
      </c>
      <c r="R50" s="81">
        <v>0</v>
      </c>
      <c r="S50" s="81">
        <v>195213.03</v>
      </c>
    </row>
    <row r="51" spans="1:19" ht="14.25">
      <c r="A51" s="17">
        <f t="shared" si="0"/>
        <v>37</v>
      </c>
      <c r="B51" s="4" t="s">
        <v>107</v>
      </c>
      <c r="C51" s="81">
        <v>5808304.75</v>
      </c>
      <c r="D51" s="81">
        <v>6515160.47</v>
      </c>
      <c r="E51" s="15">
        <f>-C51</f>
        <v>-5808304.75</v>
      </c>
      <c r="F51" s="15">
        <f>-D51</f>
        <v>-6515160.47</v>
      </c>
      <c r="G51" s="15">
        <f>ROUND(SUM(C51:F51)/2,0)</f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4.25">
      <c r="A52" s="17">
        <f t="shared" si="0"/>
        <v>38</v>
      </c>
      <c r="B52" s="5" t="s">
        <v>111</v>
      </c>
      <c r="C52" s="81">
        <v>1888.91</v>
      </c>
      <c r="D52" s="81">
        <v>0</v>
      </c>
      <c r="E52" s="15">
        <f>-C52</f>
        <v>-1888.91</v>
      </c>
      <c r="F52" s="15">
        <f>-D52</f>
        <v>0</v>
      </c>
      <c r="G52" s="15">
        <f t="shared" si="7"/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4.25">
      <c r="A53" s="17"/>
      <c r="B53" s="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5" thickBot="1">
      <c r="A54" s="17">
        <f>A52+1</f>
        <v>39</v>
      </c>
      <c r="C54" s="18">
        <f>SUM(C36:C53)</f>
        <v>9753027.540000001</v>
      </c>
      <c r="D54" s="18">
        <f>SUM(D36:D53)</f>
        <v>11394374.1</v>
      </c>
      <c r="E54" s="18">
        <f>SUM(E36:E53)</f>
        <v>-5810193.66</v>
      </c>
      <c r="F54" s="18">
        <f>SUM(F36:F53)</f>
        <v>-6515160.47</v>
      </c>
      <c r="G54" s="18">
        <f>SUM(G36:G53)</f>
        <v>4411024</v>
      </c>
      <c r="H54" s="18"/>
      <c r="I54" s="18">
        <f>SUM(I36:I53)</f>
        <v>0</v>
      </c>
      <c r="J54" s="18">
        <f>SUM(J36:J53)</f>
        <v>380480.18000000005</v>
      </c>
      <c r="K54" s="18">
        <f>SUM(K36:K53)</f>
        <v>4030543.575</v>
      </c>
      <c r="L54" s="18"/>
      <c r="M54" s="18">
        <f>SUM(M36:M53)</f>
        <v>0</v>
      </c>
      <c r="N54" s="18">
        <f>SUM(N36:N53)</f>
        <v>321854.24</v>
      </c>
      <c r="O54" s="18">
        <f>SUM(O36:O53)</f>
        <v>3620979.64</v>
      </c>
      <c r="P54" s="15"/>
      <c r="Q54" s="18">
        <f>SUM(Q36:Q53)</f>
        <v>0</v>
      </c>
      <c r="R54" s="18">
        <f>SUM(R36:R53)</f>
        <v>439106.12</v>
      </c>
      <c r="S54" s="18">
        <f>SUM(S36:S53)</f>
        <v>4440107.510000001</v>
      </c>
    </row>
    <row r="55" spans="1:19" ht="15" thickTop="1">
      <c r="A55" s="17">
        <f t="shared" si="0"/>
        <v>40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5"/>
      <c r="Q55" s="19"/>
      <c r="R55" s="19"/>
      <c r="S55" s="19"/>
    </row>
    <row r="56" spans="1:19" ht="14.25">
      <c r="A56" s="17">
        <f t="shared" si="0"/>
        <v>41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4.25">
      <c r="A57" s="17">
        <f t="shared" si="0"/>
        <v>42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4.25">
      <c r="A58" s="17">
        <f t="shared" si="0"/>
        <v>43</v>
      </c>
      <c r="B58" s="4" t="s">
        <v>113</v>
      </c>
      <c r="C58" s="81">
        <v>8860758</v>
      </c>
      <c r="D58" s="81">
        <v>10066524</v>
      </c>
      <c r="E58" s="15">
        <f>-C58</f>
        <v>-8860758</v>
      </c>
      <c r="F58" s="15">
        <f>-D58</f>
        <v>-10066524</v>
      </c>
      <c r="G58" s="15">
        <f>ROUND(SUM(C58:F58)/2,0)</f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4.25">
      <c r="A59" s="17">
        <f t="shared" si="0"/>
        <v>44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5" thickBot="1">
      <c r="A60" s="17">
        <f t="shared" si="0"/>
        <v>45</v>
      </c>
      <c r="B60" s="5" t="s">
        <v>114</v>
      </c>
      <c r="C60" s="18">
        <f>SUM(C54+C58)</f>
        <v>18613785.54</v>
      </c>
      <c r="D60" s="18">
        <f>SUM(D54+D58)</f>
        <v>21460898.1</v>
      </c>
      <c r="E60" s="18">
        <f>SUM(E54+E58)</f>
        <v>-14670951.66</v>
      </c>
      <c r="F60" s="18">
        <f>SUM(F54+F58)</f>
        <v>-16581684.469999999</v>
      </c>
      <c r="G60" s="18">
        <f>SUM(G54+G58)</f>
        <v>4411024</v>
      </c>
      <c r="H60" s="18"/>
      <c r="I60" s="18">
        <f>SUM(I54+I58)</f>
        <v>0</v>
      </c>
      <c r="J60" s="18">
        <f>SUM(J54+J58)</f>
        <v>380480.18000000005</v>
      </c>
      <c r="K60" s="18">
        <f>SUM(K54+K58)</f>
        <v>4030543.575</v>
      </c>
      <c r="L60" s="18"/>
      <c r="M60" s="18">
        <f>SUM(M58:M59)</f>
        <v>0</v>
      </c>
      <c r="N60" s="18">
        <f>SUM(N54+N58)</f>
        <v>321854.24</v>
      </c>
      <c r="O60" s="18">
        <f>SUM(O54+O58)</f>
        <v>3620979.64</v>
      </c>
      <c r="P60" s="15"/>
      <c r="Q60" s="18">
        <f>SUM(Q58:Q59)</f>
        <v>0</v>
      </c>
      <c r="R60" s="18">
        <f>SUM(R54+R58)</f>
        <v>439106.12</v>
      </c>
      <c r="S60" s="18">
        <f>SUM(S54+S58)</f>
        <v>4440107.510000001</v>
      </c>
    </row>
    <row r="61" spans="1:19" ht="15" thickTop="1">
      <c r="A61" s="17">
        <f t="shared" si="0"/>
        <v>46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5"/>
      <c r="Q61" s="19"/>
      <c r="R61" s="19"/>
      <c r="S61" s="19"/>
    </row>
    <row r="62" spans="1:19" ht="14.25">
      <c r="A62" s="17">
        <f t="shared" si="0"/>
        <v>47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4.25">
      <c r="A63" s="17">
        <f t="shared" si="0"/>
        <v>48</v>
      </c>
      <c r="B63" s="5" t="s">
        <v>115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4.25">
      <c r="A64" s="17">
        <f t="shared" si="0"/>
        <v>49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4.25">
      <c r="A65" s="17">
        <f t="shared" si="0"/>
        <v>50</v>
      </c>
      <c r="B65" s="5" t="s">
        <v>116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4.25">
      <c r="A66" s="17">
        <f t="shared" si="0"/>
        <v>51</v>
      </c>
      <c r="C66" s="15"/>
      <c r="D66" s="22"/>
      <c r="E66" s="22"/>
      <c r="F66" s="22"/>
      <c r="G66" s="22"/>
      <c r="H66" s="22"/>
      <c r="I66" s="22"/>
      <c r="J66" s="22"/>
      <c r="K66" s="22"/>
      <c r="L66" s="22"/>
      <c r="M66" s="15"/>
      <c r="N66" s="15"/>
      <c r="O66" s="15"/>
      <c r="P66" s="15"/>
      <c r="Q66" s="15"/>
      <c r="R66" s="15"/>
      <c r="S66" s="15"/>
    </row>
    <row r="67" spans="1:19" ht="14.25">
      <c r="A67" s="17">
        <f t="shared" si="0"/>
        <v>52</v>
      </c>
      <c r="B67" s="5" t="s">
        <v>117</v>
      </c>
      <c r="C67" s="15"/>
      <c r="D67" s="22"/>
      <c r="E67" s="22"/>
      <c r="F67" s="22"/>
      <c r="G67" s="22"/>
      <c r="H67" s="22"/>
      <c r="I67" s="22"/>
      <c r="J67" s="22"/>
      <c r="K67" s="22"/>
      <c r="L67" s="22"/>
      <c r="M67" s="15"/>
      <c r="N67" s="15"/>
      <c r="O67" s="15"/>
      <c r="P67" s="15"/>
      <c r="Q67" s="15"/>
      <c r="R67" s="15"/>
      <c r="S67" s="15"/>
    </row>
    <row r="68" spans="1:19" ht="14.25">
      <c r="A68" s="17">
        <f t="shared" si="0"/>
        <v>53</v>
      </c>
      <c r="B68" s="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5" thickBot="1">
      <c r="A69" s="17">
        <f t="shared" si="0"/>
        <v>54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5" thickTop="1">
      <c r="A70" s="17">
        <f t="shared" si="0"/>
        <v>55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5"/>
      <c r="Q70" s="19"/>
      <c r="R70" s="19"/>
      <c r="S70" s="19"/>
    </row>
    <row r="71" spans="1:19" ht="14.25">
      <c r="A71" s="17">
        <f t="shared" si="0"/>
        <v>56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4.25">
      <c r="A72" s="17">
        <f t="shared" si="0"/>
        <v>57</v>
      </c>
      <c r="B72" s="14" t="s">
        <v>118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4.25">
      <c r="A73" s="17">
        <f t="shared" si="0"/>
        <v>58</v>
      </c>
      <c r="B73" s="14" t="s">
        <v>119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4.25">
      <c r="A74" s="17">
        <f t="shared" si="0"/>
        <v>59</v>
      </c>
      <c r="B74" s="5" t="s">
        <v>298</v>
      </c>
      <c r="C74" s="15">
        <f>SUM(M74:O74)</f>
        <v>10622</v>
      </c>
      <c r="D74" s="15">
        <f>SUM(Q74:S74)</f>
        <v>3159</v>
      </c>
      <c r="E74" s="15"/>
      <c r="F74" s="15"/>
      <c r="G74" s="15">
        <f>ROUND(SUM(C74:F74)/2,0)</f>
        <v>6891</v>
      </c>
      <c r="H74" s="15"/>
      <c r="I74" s="15">
        <f>(+M74+Q74)/2</f>
        <v>0</v>
      </c>
      <c r="J74" s="15">
        <f>(+N74+R74)/2</f>
        <v>2283.5</v>
      </c>
      <c r="K74" s="15">
        <f>(+O74+S74)/2</f>
        <v>4607</v>
      </c>
      <c r="L74" s="15"/>
      <c r="M74" s="81">
        <v>0</v>
      </c>
      <c r="N74" s="81">
        <v>3511</v>
      </c>
      <c r="O74" s="81">
        <v>7111</v>
      </c>
      <c r="P74" s="15"/>
      <c r="Q74" s="81">
        <v>0</v>
      </c>
      <c r="R74" s="81">
        <v>1056</v>
      </c>
      <c r="S74" s="81">
        <v>2103</v>
      </c>
    </row>
    <row r="75" spans="1:19" ht="14.25">
      <c r="A75" s="17">
        <f t="shared" si="0"/>
        <v>60</v>
      </c>
      <c r="B75" s="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4.25">
      <c r="A76" s="17">
        <f t="shared" si="0"/>
        <v>61</v>
      </c>
      <c r="B76" s="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4.25">
      <c r="A77" s="17">
        <f t="shared" si="0"/>
        <v>62</v>
      </c>
      <c r="B77" s="14" t="s">
        <v>122</v>
      </c>
      <c r="C77" s="18">
        <f aca="true" t="shared" si="9" ref="C77:N77">SUM(C74:C76)</f>
        <v>10622</v>
      </c>
      <c r="D77" s="18">
        <f t="shared" si="9"/>
        <v>3159</v>
      </c>
      <c r="E77" s="18">
        <f t="shared" si="9"/>
        <v>0</v>
      </c>
      <c r="F77" s="18">
        <f t="shared" si="9"/>
        <v>0</v>
      </c>
      <c r="G77" s="18">
        <f t="shared" si="9"/>
        <v>6891</v>
      </c>
      <c r="H77" s="18"/>
      <c r="I77" s="18">
        <f>SUM(I74:I76)</f>
        <v>0</v>
      </c>
      <c r="J77" s="18">
        <f>SUM(J74:J76)</f>
        <v>2283.5</v>
      </c>
      <c r="K77" s="18">
        <f>SUM(K74:K76)</f>
        <v>4607</v>
      </c>
      <c r="L77" s="18"/>
      <c r="M77" s="18">
        <f t="shared" si="9"/>
        <v>0</v>
      </c>
      <c r="N77" s="18">
        <f t="shared" si="9"/>
        <v>3511</v>
      </c>
      <c r="O77" s="18">
        <f>SUM(O74:O76)</f>
        <v>7111</v>
      </c>
      <c r="P77" s="15"/>
      <c r="Q77" s="18">
        <f>SUM(Q74:Q76)</f>
        <v>0</v>
      </c>
      <c r="R77" s="18">
        <f>SUM(R74:R76)</f>
        <v>1056</v>
      </c>
      <c r="S77" s="18">
        <f>SUM(S74:S76)</f>
        <v>2103</v>
      </c>
    </row>
  </sheetData>
  <sheetProtection/>
  <printOptions/>
  <pageMargins left="0.75" right="0.25" top="0.75" bottom="0.5" header="0" footer="0"/>
  <pageSetup horizontalDpi="600" verticalDpi="600" orientation="portrait" scale="70" r:id="rId1"/>
  <headerFooter alignWithMargins="0">
    <oddHeader>&amp;RSTATEMENT AF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55"/>
  <sheetViews>
    <sheetView showOutlineSymbols="0" zoomScale="87" zoomScaleNormal="87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5" sqref="B5"/>
    </sheetView>
  </sheetViews>
  <sheetFormatPr defaultColWidth="12.7109375" defaultRowHeight="15"/>
  <cols>
    <col min="1" max="1" width="5.7109375" style="39" customWidth="1"/>
    <col min="2" max="2" width="55.140625" style="40" bestFit="1" customWidth="1"/>
    <col min="3" max="7" width="14.7109375" style="40" customWidth="1"/>
    <col min="8" max="8" width="6.140625" style="40" customWidth="1"/>
    <col min="9" max="11" width="14.7109375" style="40" customWidth="1"/>
    <col min="12" max="12" width="4.7109375" style="40" customWidth="1"/>
    <col min="13" max="15" width="14.7109375" style="40" customWidth="1"/>
    <col min="16" max="16" width="4.7109375" style="40" customWidth="1"/>
    <col min="17" max="19" width="14.7109375" style="40" customWidth="1"/>
    <col min="20" max="16384" width="12.7109375" style="40" customWidth="1"/>
  </cols>
  <sheetData>
    <row r="1" spans="2:19" ht="12.75">
      <c r="B1" s="3" t="s">
        <v>513</v>
      </c>
      <c r="G1" s="41"/>
      <c r="H1" s="21"/>
      <c r="I1" s="21"/>
      <c r="J1" s="21"/>
      <c r="K1" s="41"/>
      <c r="L1" s="21"/>
      <c r="O1" s="41"/>
      <c r="S1" s="41"/>
    </row>
    <row r="2" spans="2:19" ht="12.75">
      <c r="B2" s="3" t="s">
        <v>123</v>
      </c>
      <c r="G2" s="41"/>
      <c r="H2" s="21"/>
      <c r="I2" s="21"/>
      <c r="J2" s="21"/>
      <c r="K2" s="41"/>
      <c r="L2" s="21"/>
      <c r="O2" s="41"/>
      <c r="S2" s="41"/>
    </row>
    <row r="3" ht="12.75">
      <c r="B3" s="3" t="s">
        <v>579</v>
      </c>
    </row>
    <row r="4" spans="2:19" ht="12.75">
      <c r="B4" s="42"/>
      <c r="G4" s="41" t="s">
        <v>124</v>
      </c>
      <c r="K4" s="41" t="s">
        <v>124</v>
      </c>
      <c r="O4" s="41" t="s">
        <v>124</v>
      </c>
      <c r="S4" s="41" t="s">
        <v>124</v>
      </c>
    </row>
    <row r="6" spans="8:12" ht="12.75">
      <c r="H6" s="43"/>
      <c r="I6" s="43"/>
      <c r="J6" s="43"/>
      <c r="K6" s="43"/>
      <c r="L6" s="43"/>
    </row>
    <row r="8" spans="2:19" ht="12.7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/>
      <c r="I8" s="8" t="s">
        <v>9</v>
      </c>
      <c r="J8" s="8" t="s">
        <v>10</v>
      </c>
      <c r="K8" s="8" t="s">
        <v>11</v>
      </c>
      <c r="L8" s="8"/>
      <c r="M8" s="8" t="s">
        <v>12</v>
      </c>
      <c r="N8" s="8" t="s">
        <v>13</v>
      </c>
      <c r="O8" s="8" t="s">
        <v>14</v>
      </c>
      <c r="Q8" s="8" t="s">
        <v>15</v>
      </c>
      <c r="R8" s="8" t="s">
        <v>16</v>
      </c>
      <c r="S8" s="8" t="s">
        <v>17</v>
      </c>
    </row>
    <row r="10" spans="3:19" ht="12.75">
      <c r="C10" s="32" t="s">
        <v>18</v>
      </c>
      <c r="D10" s="32"/>
      <c r="E10" s="10" t="s">
        <v>19</v>
      </c>
      <c r="F10" s="32"/>
      <c r="G10" s="43" t="s">
        <v>20</v>
      </c>
      <c r="H10" s="43"/>
      <c r="I10" s="32" t="s">
        <v>21</v>
      </c>
      <c r="J10" s="32"/>
      <c r="K10" s="32"/>
      <c r="L10" s="43"/>
      <c r="M10" s="32" t="s">
        <v>580</v>
      </c>
      <c r="N10" s="32"/>
      <c r="O10" s="32"/>
      <c r="Q10" s="32" t="s">
        <v>530</v>
      </c>
      <c r="R10" s="32"/>
      <c r="S10" s="32"/>
    </row>
    <row r="11" spans="3:19" ht="12.75">
      <c r="C11" s="44"/>
      <c r="D11" s="44"/>
      <c r="G11" s="43" t="s">
        <v>22</v>
      </c>
      <c r="H11" s="43"/>
      <c r="I11" s="44"/>
      <c r="J11" s="44"/>
      <c r="K11" s="44"/>
      <c r="L11" s="43"/>
      <c r="M11" s="44"/>
      <c r="N11" s="44"/>
      <c r="O11" s="44"/>
      <c r="Q11" s="44"/>
      <c r="R11" s="44"/>
      <c r="S11" s="44"/>
    </row>
    <row r="12" spans="3:12" ht="12.75">
      <c r="C12" s="43" t="s">
        <v>23</v>
      </c>
      <c r="D12" s="43" t="s">
        <v>23</v>
      </c>
      <c r="E12" s="43" t="s">
        <v>23</v>
      </c>
      <c r="F12" s="43" t="s">
        <v>23</v>
      </c>
      <c r="G12" s="43" t="s">
        <v>24</v>
      </c>
      <c r="H12" s="43"/>
      <c r="L12" s="43"/>
    </row>
    <row r="13" spans="2:19" ht="12.75">
      <c r="B13" s="8" t="s">
        <v>25</v>
      </c>
      <c r="C13" s="8" t="s">
        <v>581</v>
      </c>
      <c r="D13" s="8" t="s">
        <v>531</v>
      </c>
      <c r="E13" s="8" t="s">
        <v>581</v>
      </c>
      <c r="F13" s="8" t="s">
        <v>531</v>
      </c>
      <c r="G13" s="8" t="s">
        <v>26</v>
      </c>
      <c r="H13" s="8"/>
      <c r="I13" s="8" t="s">
        <v>27</v>
      </c>
      <c r="J13" s="8" t="s">
        <v>28</v>
      </c>
      <c r="K13" s="8" t="s">
        <v>29</v>
      </c>
      <c r="L13" s="8"/>
      <c r="M13" s="8" t="s">
        <v>27</v>
      </c>
      <c r="N13" s="8" t="s">
        <v>28</v>
      </c>
      <c r="O13" s="8" t="s">
        <v>29</v>
      </c>
      <c r="Q13" s="8" t="s">
        <v>27</v>
      </c>
      <c r="R13" s="8" t="s">
        <v>28</v>
      </c>
      <c r="S13" s="8" t="s">
        <v>29</v>
      </c>
    </row>
    <row r="15" spans="1:20" ht="12.75">
      <c r="A15" s="45"/>
      <c r="B15" s="36" t="s">
        <v>125</v>
      </c>
      <c r="C15" s="36"/>
      <c r="D15" s="36"/>
      <c r="E15" s="36"/>
      <c r="F15" s="4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2.75">
      <c r="A16" s="4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2.75">
      <c r="A17" s="76">
        <v>1</v>
      </c>
      <c r="B17" s="36" t="s">
        <v>299</v>
      </c>
      <c r="C17" s="36">
        <f aca="true" t="shared" si="0" ref="C17:C42">SUM(M17:O17)</f>
        <v>19843</v>
      </c>
      <c r="D17" s="36">
        <f aca="true" t="shared" si="1" ref="D17:D41">SUM(Q17:S17)</f>
        <v>18757</v>
      </c>
      <c r="E17" s="36"/>
      <c r="F17" s="36"/>
      <c r="G17" s="36">
        <f aca="true" t="shared" si="2" ref="G17:G42">ROUND(SUM(C17:F17)/2,0)</f>
        <v>19300</v>
      </c>
      <c r="H17" s="77" t="str">
        <f>IF((SUM(I17:K17)-G17)&gt;1,"E"," ")</f>
        <v> </v>
      </c>
      <c r="I17" s="36">
        <f aca="true" t="shared" si="3" ref="I17:I41">(+M17+Q17)/2</f>
        <v>0</v>
      </c>
      <c r="J17" s="36">
        <f>ROUND((+N17+R17)/2,0)</f>
        <v>5859</v>
      </c>
      <c r="K17" s="36">
        <f>ROUND((+O17+S17)/2,0)</f>
        <v>13441</v>
      </c>
      <c r="L17" s="36"/>
      <c r="M17" s="36">
        <v>0</v>
      </c>
      <c r="N17" s="36">
        <v>5859</v>
      </c>
      <c r="O17" s="36">
        <v>13984</v>
      </c>
      <c r="P17" s="36"/>
      <c r="Q17" s="36">
        <v>0</v>
      </c>
      <c r="R17" s="36">
        <v>5859</v>
      </c>
      <c r="S17" s="36">
        <v>12898</v>
      </c>
      <c r="T17" s="36"/>
    </row>
    <row r="18" spans="1:20" ht="12.75">
      <c r="A18" s="78">
        <f aca="true" t="shared" si="4" ref="A18:A51">A17+1</f>
        <v>2</v>
      </c>
      <c r="B18" s="36" t="s">
        <v>127</v>
      </c>
      <c r="C18" s="36">
        <f>SUM(M18:O18)</f>
        <v>693767.0700000001</v>
      </c>
      <c r="D18" s="36">
        <f t="shared" si="1"/>
        <v>688313.78</v>
      </c>
      <c r="E18" s="36"/>
      <c r="F18" s="36"/>
      <c r="G18" s="36">
        <f>ROUND(SUM(C18:F18)/2,0)</f>
        <v>691040</v>
      </c>
      <c r="H18" s="77" t="str">
        <f>IF((SUM(I18:K18)-G18)&gt;1,"E"," ")</f>
        <v> </v>
      </c>
      <c r="I18" s="36">
        <f t="shared" si="3"/>
        <v>0</v>
      </c>
      <c r="J18" s="36">
        <f aca="true" t="shared" si="5" ref="J18:K43">ROUND((+N18+R18)/2,0)</f>
        <v>262686</v>
      </c>
      <c r="K18" s="36">
        <f t="shared" si="5"/>
        <v>428355</v>
      </c>
      <c r="L18" s="36"/>
      <c r="M18" s="36">
        <v>0</v>
      </c>
      <c r="N18" s="36">
        <f>342496.27-72612</f>
        <v>269884.27</v>
      </c>
      <c r="O18" s="36">
        <f>636340.8-212458</f>
        <v>423882.80000000005</v>
      </c>
      <c r="P18" s="36"/>
      <c r="Q18" s="36">
        <v>0</v>
      </c>
      <c r="R18" s="36">
        <f>317155.91-61669</f>
        <v>255486.90999999997</v>
      </c>
      <c r="S18" s="36">
        <f>624745.87-191919</f>
        <v>432826.87</v>
      </c>
      <c r="T18" s="36"/>
    </row>
    <row r="19" spans="1:20" ht="12.75">
      <c r="A19" s="78">
        <f t="shared" si="4"/>
        <v>3</v>
      </c>
      <c r="B19" s="36" t="s">
        <v>303</v>
      </c>
      <c r="C19" s="36">
        <f t="shared" si="0"/>
        <v>1146022.1800000002</v>
      </c>
      <c r="D19" s="36">
        <f t="shared" si="1"/>
        <v>1003606.1000000001</v>
      </c>
      <c r="E19" s="36"/>
      <c r="F19" s="36"/>
      <c r="G19" s="36">
        <f t="shared" si="2"/>
        <v>1074814</v>
      </c>
      <c r="H19" s="77" t="str">
        <f aca="true" t="shared" si="6" ref="H19:H42">IF((SUM(I19:K19)-G19)&gt;1,"E"," ")</f>
        <v> </v>
      </c>
      <c r="I19" s="36">
        <f t="shared" si="3"/>
        <v>0</v>
      </c>
      <c r="J19" s="36">
        <f t="shared" si="5"/>
        <v>550167</v>
      </c>
      <c r="K19" s="36">
        <f t="shared" si="5"/>
        <v>524648</v>
      </c>
      <c r="L19" s="36"/>
      <c r="M19" s="36">
        <v>0</v>
      </c>
      <c r="N19" s="36">
        <v>627220.17</v>
      </c>
      <c r="O19" s="36">
        <v>518802.01</v>
      </c>
      <c r="P19" s="36"/>
      <c r="Q19" s="36">
        <v>0</v>
      </c>
      <c r="R19" s="36">
        <v>473113.07</v>
      </c>
      <c r="S19" s="36">
        <v>530493.03</v>
      </c>
      <c r="T19" s="36"/>
    </row>
    <row r="20" spans="1:20" ht="12.75">
      <c r="A20" s="78">
        <f t="shared" si="4"/>
        <v>4</v>
      </c>
      <c r="B20" s="36" t="s">
        <v>521</v>
      </c>
      <c r="C20" s="36">
        <f t="shared" si="0"/>
        <v>0.15</v>
      </c>
      <c r="D20" s="36">
        <f t="shared" si="1"/>
        <v>0.15</v>
      </c>
      <c r="E20" s="36"/>
      <c r="F20" s="36"/>
      <c r="G20" s="36">
        <f>ROUND(SUM(C20:F20)/2,0)</f>
        <v>0</v>
      </c>
      <c r="H20" s="77" t="str">
        <f t="shared" si="6"/>
        <v> </v>
      </c>
      <c r="I20" s="36">
        <f t="shared" si="3"/>
        <v>0</v>
      </c>
      <c r="J20" s="36">
        <f t="shared" si="5"/>
        <v>0</v>
      </c>
      <c r="K20" s="36">
        <f t="shared" si="5"/>
        <v>0</v>
      </c>
      <c r="L20" s="36"/>
      <c r="M20" s="36">
        <v>0</v>
      </c>
      <c r="N20" s="36">
        <v>0</v>
      </c>
      <c r="O20" s="36">
        <v>0.15</v>
      </c>
      <c r="P20" s="36"/>
      <c r="Q20" s="36">
        <v>0</v>
      </c>
      <c r="R20" s="36">
        <v>0</v>
      </c>
      <c r="S20" s="36">
        <v>0.15</v>
      </c>
      <c r="T20" s="36"/>
    </row>
    <row r="21" spans="1:20" ht="12.75">
      <c r="A21" s="78">
        <f t="shared" si="4"/>
        <v>5</v>
      </c>
      <c r="B21" s="36" t="s">
        <v>522</v>
      </c>
      <c r="C21" s="36">
        <f>SUM(M21:O21)</f>
        <v>0</v>
      </c>
      <c r="D21" s="36">
        <f t="shared" si="1"/>
        <v>0</v>
      </c>
      <c r="E21" s="36"/>
      <c r="F21" s="36"/>
      <c r="G21" s="36">
        <f>ROUND(SUM(C21:F21)/2,0)</f>
        <v>0</v>
      </c>
      <c r="H21" s="77" t="str">
        <f>IF((SUM(I21:K21)-G21)&gt;1,"E"," ")</f>
        <v> </v>
      </c>
      <c r="I21" s="36">
        <f t="shared" si="3"/>
        <v>0</v>
      </c>
      <c r="J21" s="36">
        <f t="shared" si="5"/>
        <v>0</v>
      </c>
      <c r="K21" s="36">
        <f t="shared" si="5"/>
        <v>0</v>
      </c>
      <c r="L21" s="36"/>
      <c r="M21" s="36">
        <v>0</v>
      </c>
      <c r="N21" s="36">
        <v>0</v>
      </c>
      <c r="O21" s="36">
        <v>0</v>
      </c>
      <c r="P21" s="36"/>
      <c r="Q21" s="36">
        <v>0</v>
      </c>
      <c r="R21" s="36">
        <v>0</v>
      </c>
      <c r="S21" s="36">
        <v>0</v>
      </c>
      <c r="T21" s="36"/>
    </row>
    <row r="22" spans="1:20" ht="12.75">
      <c r="A22" s="78">
        <f t="shared" si="4"/>
        <v>6</v>
      </c>
      <c r="B22" s="36" t="s">
        <v>139</v>
      </c>
      <c r="C22" s="36">
        <f t="shared" si="0"/>
        <v>84679.86</v>
      </c>
      <c r="D22" s="36">
        <f t="shared" si="1"/>
        <v>102710.12000000001</v>
      </c>
      <c r="E22" s="36"/>
      <c r="F22" s="36"/>
      <c r="G22" s="36">
        <f t="shared" si="2"/>
        <v>93695</v>
      </c>
      <c r="H22" s="77" t="str">
        <f t="shared" si="6"/>
        <v> </v>
      </c>
      <c r="I22" s="36">
        <f t="shared" si="3"/>
        <v>0</v>
      </c>
      <c r="J22" s="36">
        <f t="shared" si="5"/>
        <v>0</v>
      </c>
      <c r="K22" s="36">
        <f t="shared" si="5"/>
        <v>93695</v>
      </c>
      <c r="L22" s="36"/>
      <c r="M22" s="36">
        <v>0</v>
      </c>
      <c r="N22" s="36">
        <v>-0.01</v>
      </c>
      <c r="O22" s="36">
        <v>84679.87</v>
      </c>
      <c r="P22" s="36"/>
      <c r="Q22" s="36">
        <v>0</v>
      </c>
      <c r="R22" s="36">
        <v>-0.01</v>
      </c>
      <c r="S22" s="36">
        <v>102710.13</v>
      </c>
      <c r="T22" s="36"/>
    </row>
    <row r="23" spans="1:20" ht="12.75">
      <c r="A23" s="78">
        <f t="shared" si="4"/>
        <v>7</v>
      </c>
      <c r="B23" s="36" t="s">
        <v>145</v>
      </c>
      <c r="C23" s="36">
        <f t="shared" si="0"/>
        <v>69541.65</v>
      </c>
      <c r="D23" s="36">
        <f t="shared" si="1"/>
        <v>53460.87</v>
      </c>
      <c r="E23" s="36"/>
      <c r="F23" s="36"/>
      <c r="G23" s="36">
        <f t="shared" si="2"/>
        <v>61501</v>
      </c>
      <c r="H23" s="77" t="str">
        <f t="shared" si="6"/>
        <v> </v>
      </c>
      <c r="I23" s="36">
        <f t="shared" si="3"/>
        <v>0</v>
      </c>
      <c r="J23" s="36">
        <f t="shared" si="5"/>
        <v>0</v>
      </c>
      <c r="K23" s="36">
        <f t="shared" si="5"/>
        <v>61501</v>
      </c>
      <c r="L23" s="36"/>
      <c r="M23" s="36">
        <v>0</v>
      </c>
      <c r="N23" s="36">
        <v>0</v>
      </c>
      <c r="O23" s="36">
        <v>69541.65</v>
      </c>
      <c r="P23" s="36"/>
      <c r="Q23" s="36">
        <v>0</v>
      </c>
      <c r="R23" s="36">
        <v>0</v>
      </c>
      <c r="S23" s="36">
        <v>53460.87</v>
      </c>
      <c r="T23" s="36"/>
    </row>
    <row r="24" spans="1:20" ht="12.75">
      <c r="A24" s="78">
        <f t="shared" si="4"/>
        <v>8</v>
      </c>
      <c r="B24" s="36" t="s">
        <v>540</v>
      </c>
      <c r="C24" s="36">
        <f>SUM(M24:O24)</f>
        <v>0</v>
      </c>
      <c r="D24" s="36">
        <f t="shared" si="1"/>
        <v>18189.15</v>
      </c>
      <c r="E24" s="36"/>
      <c r="F24" s="36"/>
      <c r="G24" s="36">
        <f>ROUND(SUM(C24:F24)/2,0)</f>
        <v>9095</v>
      </c>
      <c r="H24" s="77" t="str">
        <f>IF((SUM(I24:K24)-G24)&gt;1,"E"," ")</f>
        <v> </v>
      </c>
      <c r="I24" s="36">
        <f t="shared" si="3"/>
        <v>0</v>
      </c>
      <c r="J24" s="36">
        <f>ROUND((+N24+R24)/2,0)</f>
        <v>0</v>
      </c>
      <c r="K24" s="36">
        <f>ROUND((+O24+S24)/2,0)</f>
        <v>9095</v>
      </c>
      <c r="L24" s="36"/>
      <c r="M24" s="36">
        <v>0</v>
      </c>
      <c r="N24" s="36">
        <v>0</v>
      </c>
      <c r="O24" s="36">
        <v>0</v>
      </c>
      <c r="P24" s="36"/>
      <c r="Q24" s="36">
        <v>0</v>
      </c>
      <c r="R24" s="36">
        <v>0</v>
      </c>
      <c r="S24" s="36">
        <v>18189.15</v>
      </c>
      <c r="T24" s="36"/>
    </row>
    <row r="25" spans="1:20" ht="12.75">
      <c r="A25" s="78">
        <f t="shared" si="4"/>
        <v>9</v>
      </c>
      <c r="B25" s="36" t="s">
        <v>148</v>
      </c>
      <c r="C25" s="36">
        <f t="shared" si="0"/>
        <v>225109.83</v>
      </c>
      <c r="D25" s="36">
        <f t="shared" si="1"/>
        <v>205928.01</v>
      </c>
      <c r="E25" s="36"/>
      <c r="F25" s="36"/>
      <c r="G25" s="36">
        <f t="shared" si="2"/>
        <v>215519</v>
      </c>
      <c r="H25" s="77" t="str">
        <f t="shared" si="6"/>
        <v> </v>
      </c>
      <c r="I25" s="36">
        <f t="shared" si="3"/>
        <v>0</v>
      </c>
      <c r="J25" s="36">
        <f t="shared" si="5"/>
        <v>-3968</v>
      </c>
      <c r="K25" s="36">
        <f t="shared" si="5"/>
        <v>219487</v>
      </c>
      <c r="L25" s="36"/>
      <c r="M25" s="36">
        <v>0</v>
      </c>
      <c r="N25" s="36">
        <v>-3968.03</v>
      </c>
      <c r="O25" s="36">
        <v>229077.86</v>
      </c>
      <c r="P25" s="36"/>
      <c r="Q25" s="36">
        <v>0</v>
      </c>
      <c r="R25" s="36">
        <v>-3968.03</v>
      </c>
      <c r="S25" s="36">
        <v>209896.04</v>
      </c>
      <c r="T25" s="36"/>
    </row>
    <row r="26" spans="1:20" ht="12.75">
      <c r="A26" s="78">
        <f t="shared" si="4"/>
        <v>10</v>
      </c>
      <c r="B26" s="36" t="s">
        <v>150</v>
      </c>
      <c r="C26" s="36">
        <f t="shared" si="0"/>
        <v>68117.04</v>
      </c>
      <c r="D26" s="36">
        <f t="shared" si="1"/>
        <v>53802.66</v>
      </c>
      <c r="E26" s="36"/>
      <c r="F26" s="36"/>
      <c r="G26" s="36">
        <f t="shared" si="2"/>
        <v>60960</v>
      </c>
      <c r="H26" s="77" t="str">
        <f t="shared" si="6"/>
        <v> </v>
      </c>
      <c r="I26" s="36">
        <f t="shared" si="3"/>
        <v>0</v>
      </c>
      <c r="J26" s="36">
        <f t="shared" si="5"/>
        <v>-4156</v>
      </c>
      <c r="K26" s="36">
        <f t="shared" si="5"/>
        <v>65116</v>
      </c>
      <c r="L26" s="36"/>
      <c r="M26" s="36">
        <v>0</v>
      </c>
      <c r="N26" s="36">
        <v>-4156</v>
      </c>
      <c r="O26" s="36">
        <v>72273.04</v>
      </c>
      <c r="P26" s="36"/>
      <c r="Q26" s="36">
        <v>0</v>
      </c>
      <c r="R26" s="36">
        <v>-4156</v>
      </c>
      <c r="S26" s="36">
        <v>57958.66</v>
      </c>
      <c r="T26" s="36"/>
    </row>
    <row r="27" spans="1:20" ht="12.75">
      <c r="A27" s="78">
        <f t="shared" si="4"/>
        <v>11</v>
      </c>
      <c r="B27" s="36" t="s">
        <v>323</v>
      </c>
      <c r="C27" s="36">
        <f t="shared" si="0"/>
        <v>157063.2</v>
      </c>
      <c r="D27" s="36">
        <f t="shared" si="1"/>
        <v>157063.2</v>
      </c>
      <c r="E27" s="36"/>
      <c r="F27" s="36"/>
      <c r="G27" s="36">
        <f t="shared" si="2"/>
        <v>157063</v>
      </c>
      <c r="H27" s="77" t="str">
        <f t="shared" si="6"/>
        <v> </v>
      </c>
      <c r="I27" s="36">
        <f t="shared" si="3"/>
        <v>0</v>
      </c>
      <c r="J27" s="36">
        <f t="shared" si="5"/>
        <v>0</v>
      </c>
      <c r="K27" s="36">
        <f t="shared" si="5"/>
        <v>157063</v>
      </c>
      <c r="L27" s="36"/>
      <c r="M27" s="36">
        <v>0</v>
      </c>
      <c r="N27" s="36">
        <v>0</v>
      </c>
      <c r="O27" s="36">
        <v>157063.2</v>
      </c>
      <c r="P27" s="36"/>
      <c r="Q27" s="36">
        <v>0</v>
      </c>
      <c r="R27" s="36">
        <v>0</v>
      </c>
      <c r="S27" s="36">
        <v>157063.2</v>
      </c>
      <c r="T27" s="36"/>
    </row>
    <row r="28" spans="1:20" ht="12.75">
      <c r="A28" s="78">
        <f t="shared" si="4"/>
        <v>12</v>
      </c>
      <c r="B28" s="36" t="s">
        <v>523</v>
      </c>
      <c r="C28" s="36">
        <f t="shared" si="0"/>
        <v>142863.45</v>
      </c>
      <c r="D28" s="36">
        <f t="shared" si="1"/>
        <v>145731.35</v>
      </c>
      <c r="E28" s="36"/>
      <c r="F28" s="36"/>
      <c r="G28" s="36">
        <f t="shared" si="2"/>
        <v>144297</v>
      </c>
      <c r="H28" s="77" t="str">
        <f t="shared" si="6"/>
        <v> </v>
      </c>
      <c r="I28" s="36">
        <f t="shared" si="3"/>
        <v>0</v>
      </c>
      <c r="J28" s="36">
        <f t="shared" si="5"/>
        <v>183</v>
      </c>
      <c r="K28" s="36">
        <f t="shared" si="5"/>
        <v>144115</v>
      </c>
      <c r="L28" s="36"/>
      <c r="M28" s="36">
        <v>0</v>
      </c>
      <c r="N28" s="36">
        <f>-13140.4+13102</f>
        <v>-38.399999999999636</v>
      </c>
      <c r="O28" s="36">
        <f>112706.85+30195</f>
        <v>142901.85</v>
      </c>
      <c r="P28" s="36"/>
      <c r="Q28" s="36">
        <v>0</v>
      </c>
      <c r="R28" s="36">
        <f>-12698+13102</f>
        <v>404</v>
      </c>
      <c r="S28" s="36">
        <f>115132.35+30195</f>
        <v>145327.35</v>
      </c>
      <c r="T28" s="36"/>
    </row>
    <row r="29" spans="1:20" ht="12.75">
      <c r="A29" s="78">
        <f t="shared" si="4"/>
        <v>13</v>
      </c>
      <c r="B29" s="36" t="s">
        <v>524</v>
      </c>
      <c r="C29" s="36">
        <f t="shared" si="0"/>
        <v>0.6000000000058208</v>
      </c>
      <c r="D29" s="36">
        <f t="shared" si="1"/>
        <v>0.6000000000058208</v>
      </c>
      <c r="E29" s="36"/>
      <c r="F29" s="36"/>
      <c r="G29" s="36">
        <f t="shared" si="2"/>
        <v>1</v>
      </c>
      <c r="H29" s="77" t="str">
        <f t="shared" si="6"/>
        <v> </v>
      </c>
      <c r="I29" s="36">
        <f t="shared" si="3"/>
        <v>0</v>
      </c>
      <c r="J29" s="36">
        <f t="shared" si="5"/>
        <v>0</v>
      </c>
      <c r="K29" s="36">
        <f t="shared" si="5"/>
        <v>0</v>
      </c>
      <c r="L29" s="36"/>
      <c r="M29" s="36">
        <v>0</v>
      </c>
      <c r="N29" s="36">
        <f>52974.25-52974</f>
        <v>0.25</v>
      </c>
      <c r="O29" s="36">
        <f>123606.35-123606</f>
        <v>0.35000000000582077</v>
      </c>
      <c r="P29" s="36"/>
      <c r="Q29" s="36">
        <v>0</v>
      </c>
      <c r="R29" s="36">
        <f>52974.25-52974</f>
        <v>0.25</v>
      </c>
      <c r="S29" s="36">
        <f>123606.35-123606</f>
        <v>0.35000000000582077</v>
      </c>
      <c r="T29" s="36"/>
    </row>
    <row r="30" spans="1:20" ht="12.75">
      <c r="A30" s="78">
        <f t="shared" si="4"/>
        <v>14</v>
      </c>
      <c r="B30" s="36" t="s">
        <v>172</v>
      </c>
      <c r="C30" s="36">
        <f t="shared" si="0"/>
        <v>37672.29</v>
      </c>
      <c r="D30" s="36">
        <f t="shared" si="1"/>
        <v>34525.67</v>
      </c>
      <c r="E30" s="36"/>
      <c r="F30" s="36"/>
      <c r="G30" s="36">
        <f t="shared" si="2"/>
        <v>36099</v>
      </c>
      <c r="H30" s="77" t="str">
        <f t="shared" si="6"/>
        <v> </v>
      </c>
      <c r="I30" s="36">
        <f t="shared" si="3"/>
        <v>0</v>
      </c>
      <c r="J30" s="36">
        <f t="shared" si="5"/>
        <v>0</v>
      </c>
      <c r="K30" s="36">
        <f t="shared" si="5"/>
        <v>36099</v>
      </c>
      <c r="L30" s="36"/>
      <c r="M30" s="36">
        <v>0</v>
      </c>
      <c r="N30" s="36">
        <v>0</v>
      </c>
      <c r="O30" s="36">
        <v>37672.29</v>
      </c>
      <c r="P30" s="36"/>
      <c r="Q30" s="36">
        <v>0</v>
      </c>
      <c r="R30" s="36">
        <v>0</v>
      </c>
      <c r="S30" s="36">
        <v>34525.67</v>
      </c>
      <c r="T30" s="36"/>
    </row>
    <row r="31" spans="1:20" ht="12.75">
      <c r="A31" s="78">
        <f t="shared" si="4"/>
        <v>15</v>
      </c>
      <c r="B31" s="36" t="s">
        <v>175</v>
      </c>
      <c r="C31" s="36">
        <f t="shared" si="0"/>
        <v>2612.05</v>
      </c>
      <c r="D31" s="36">
        <f t="shared" si="1"/>
        <v>124.6</v>
      </c>
      <c r="E31" s="36"/>
      <c r="F31" s="36"/>
      <c r="G31" s="36">
        <f t="shared" si="2"/>
        <v>1368</v>
      </c>
      <c r="H31" s="77" t="str">
        <f t="shared" si="6"/>
        <v> </v>
      </c>
      <c r="I31" s="36">
        <f t="shared" si="3"/>
        <v>0</v>
      </c>
      <c r="J31" s="36">
        <f t="shared" si="5"/>
        <v>0</v>
      </c>
      <c r="K31" s="36">
        <f t="shared" si="5"/>
        <v>1368</v>
      </c>
      <c r="L31" s="36"/>
      <c r="M31" s="36">
        <v>0</v>
      </c>
      <c r="N31" s="36">
        <v>0.3</v>
      </c>
      <c r="O31" s="36">
        <v>2611.75</v>
      </c>
      <c r="P31" s="36"/>
      <c r="Q31" s="36">
        <v>0</v>
      </c>
      <c r="R31" s="36">
        <v>0.3</v>
      </c>
      <c r="S31" s="36">
        <v>124.3</v>
      </c>
      <c r="T31" s="36"/>
    </row>
    <row r="32" spans="1:20" ht="12.75">
      <c r="A32" s="78">
        <f t="shared" si="4"/>
        <v>16</v>
      </c>
      <c r="B32" s="36" t="s">
        <v>177</v>
      </c>
      <c r="C32" s="36">
        <f t="shared" si="0"/>
        <v>-272096.22000000003</v>
      </c>
      <c r="D32" s="36">
        <f t="shared" si="1"/>
        <v>-118663.8</v>
      </c>
      <c r="E32" s="36"/>
      <c r="F32" s="36"/>
      <c r="G32" s="36">
        <f t="shared" si="2"/>
        <v>-195380</v>
      </c>
      <c r="H32" s="77" t="str">
        <f t="shared" si="6"/>
        <v> </v>
      </c>
      <c r="I32" s="36">
        <f t="shared" si="3"/>
        <v>0</v>
      </c>
      <c r="J32" s="36">
        <f t="shared" si="5"/>
        <v>21099</v>
      </c>
      <c r="K32" s="36">
        <f t="shared" si="5"/>
        <v>-216479</v>
      </c>
      <c r="L32" s="36"/>
      <c r="M32" s="36">
        <v>0</v>
      </c>
      <c r="N32" s="36">
        <v>18432.37</v>
      </c>
      <c r="O32" s="36">
        <v>-290528.59</v>
      </c>
      <c r="P32" s="36"/>
      <c r="Q32" s="36">
        <v>0</v>
      </c>
      <c r="R32" s="36">
        <v>23764.98</v>
      </c>
      <c r="S32" s="36">
        <v>-142428.78</v>
      </c>
      <c r="T32" s="36"/>
    </row>
    <row r="33" spans="1:20" ht="12.75">
      <c r="A33" s="78">
        <f t="shared" si="4"/>
        <v>17</v>
      </c>
      <c r="B33" s="36" t="s">
        <v>352</v>
      </c>
      <c r="C33" s="36">
        <f t="shared" si="0"/>
        <v>195213.03</v>
      </c>
      <c r="D33" s="36">
        <f t="shared" si="1"/>
        <v>44488.2</v>
      </c>
      <c r="E33" s="36"/>
      <c r="F33" s="36"/>
      <c r="G33" s="36">
        <f t="shared" si="2"/>
        <v>119851</v>
      </c>
      <c r="H33" s="77" t="str">
        <f t="shared" si="6"/>
        <v> </v>
      </c>
      <c r="I33" s="36">
        <f t="shared" si="3"/>
        <v>0</v>
      </c>
      <c r="J33" s="36">
        <f t="shared" si="5"/>
        <v>0</v>
      </c>
      <c r="K33" s="36">
        <f t="shared" si="5"/>
        <v>119851</v>
      </c>
      <c r="L33" s="36"/>
      <c r="M33" s="36">
        <v>0</v>
      </c>
      <c r="N33" s="36">
        <v>0</v>
      </c>
      <c r="O33" s="36">
        <v>195213.03</v>
      </c>
      <c r="P33" s="36"/>
      <c r="Q33" s="36">
        <v>0</v>
      </c>
      <c r="R33" s="36">
        <v>0</v>
      </c>
      <c r="S33" s="36">
        <v>44488.2</v>
      </c>
      <c r="T33" s="36"/>
    </row>
    <row r="34" spans="1:20" ht="12.75">
      <c r="A34" s="78">
        <f t="shared" si="4"/>
        <v>18</v>
      </c>
      <c r="B34" s="36" t="s">
        <v>525</v>
      </c>
      <c r="C34" s="36">
        <f t="shared" si="0"/>
        <v>271336.1</v>
      </c>
      <c r="D34" s="36">
        <f t="shared" si="1"/>
        <v>271336.1</v>
      </c>
      <c r="E34" s="36"/>
      <c r="F34" s="36"/>
      <c r="G34" s="36">
        <f t="shared" si="2"/>
        <v>271336</v>
      </c>
      <c r="H34" s="77" t="str">
        <f t="shared" si="6"/>
        <v> </v>
      </c>
      <c r="I34" s="36">
        <f t="shared" si="3"/>
        <v>0</v>
      </c>
      <c r="J34" s="36">
        <f t="shared" si="5"/>
        <v>20637</v>
      </c>
      <c r="K34" s="36">
        <f t="shared" si="5"/>
        <v>250699</v>
      </c>
      <c r="L34" s="36"/>
      <c r="M34" s="36">
        <v>0</v>
      </c>
      <c r="N34" s="36">
        <v>20636.7</v>
      </c>
      <c r="O34" s="36">
        <v>250699.4</v>
      </c>
      <c r="P34" s="36"/>
      <c r="Q34" s="36">
        <v>0</v>
      </c>
      <c r="R34" s="36">
        <v>20636.7</v>
      </c>
      <c r="S34" s="36">
        <v>250699.4</v>
      </c>
      <c r="T34" s="36"/>
    </row>
    <row r="35" spans="1:20" ht="12.75">
      <c r="A35" s="78">
        <f t="shared" si="4"/>
        <v>19</v>
      </c>
      <c r="B35" s="36" t="s">
        <v>526</v>
      </c>
      <c r="C35" s="36">
        <f t="shared" si="0"/>
        <v>45583.82</v>
      </c>
      <c r="D35" s="36">
        <f t="shared" si="1"/>
        <v>42850.299999999996</v>
      </c>
      <c r="E35" s="36"/>
      <c r="F35" s="36"/>
      <c r="G35" s="36">
        <f t="shared" si="2"/>
        <v>44217</v>
      </c>
      <c r="H35" s="77" t="str">
        <f t="shared" si="6"/>
        <v> </v>
      </c>
      <c r="I35" s="36">
        <f t="shared" si="3"/>
        <v>0</v>
      </c>
      <c r="J35" s="36">
        <f t="shared" si="5"/>
        <v>4357</v>
      </c>
      <c r="K35" s="36">
        <f t="shared" si="5"/>
        <v>39860</v>
      </c>
      <c r="L35" s="36"/>
      <c r="M35" s="36">
        <v>0</v>
      </c>
      <c r="N35" s="36">
        <v>4491.25</v>
      </c>
      <c r="O35" s="36">
        <v>41092.57</v>
      </c>
      <c r="P35" s="36"/>
      <c r="Q35" s="36">
        <v>0</v>
      </c>
      <c r="R35" s="36">
        <v>4221.92</v>
      </c>
      <c r="S35" s="36">
        <v>38628.38</v>
      </c>
      <c r="T35" s="36"/>
    </row>
    <row r="36" spans="1:20" ht="12.75">
      <c r="A36" s="78">
        <f t="shared" si="4"/>
        <v>20</v>
      </c>
      <c r="B36" s="36" t="s">
        <v>399</v>
      </c>
      <c r="C36" s="36">
        <f>SUM(M36:O36)</f>
        <v>-17100.65</v>
      </c>
      <c r="D36" s="36">
        <f>SUM(Q36:S36)</f>
        <v>-20945.399999999998</v>
      </c>
      <c r="E36" s="36"/>
      <c r="F36" s="36"/>
      <c r="G36" s="36">
        <f>ROUND(SUM(C36:F36)/2,0)</f>
        <v>-19023</v>
      </c>
      <c r="H36" s="77" t="str">
        <f>IF((SUM(I36:K36)-G36)&gt;1,"E"," ")</f>
        <v> </v>
      </c>
      <c r="I36" s="36">
        <f t="shared" si="3"/>
        <v>0</v>
      </c>
      <c r="J36" s="36">
        <f t="shared" si="5"/>
        <v>-3717</v>
      </c>
      <c r="K36" s="36">
        <f t="shared" si="5"/>
        <v>-15306</v>
      </c>
      <c r="L36" s="36"/>
      <c r="M36" s="36">
        <v>0</v>
      </c>
      <c r="N36" s="36">
        <v>-3420.2</v>
      </c>
      <c r="O36" s="36">
        <v>-13680.45</v>
      </c>
      <c r="P36" s="36"/>
      <c r="Q36" s="36">
        <v>0</v>
      </c>
      <c r="R36" s="36">
        <v>-4013.1</v>
      </c>
      <c r="S36" s="36">
        <v>-16932.3</v>
      </c>
      <c r="T36" s="36"/>
    </row>
    <row r="37" spans="1:20" ht="12.75">
      <c r="A37" s="78">
        <f t="shared" si="4"/>
        <v>21</v>
      </c>
      <c r="B37" s="36" t="s">
        <v>186</v>
      </c>
      <c r="C37" s="36">
        <f t="shared" si="0"/>
        <v>0</v>
      </c>
      <c r="D37" s="36">
        <f t="shared" si="1"/>
        <v>0</v>
      </c>
      <c r="E37" s="36"/>
      <c r="F37" s="36"/>
      <c r="G37" s="36">
        <f t="shared" si="2"/>
        <v>0</v>
      </c>
      <c r="H37" s="77" t="str">
        <f t="shared" si="6"/>
        <v> </v>
      </c>
      <c r="I37" s="36">
        <f t="shared" si="3"/>
        <v>0</v>
      </c>
      <c r="J37" s="36">
        <f t="shared" si="5"/>
        <v>0</v>
      </c>
      <c r="K37" s="36">
        <f t="shared" si="5"/>
        <v>0</v>
      </c>
      <c r="L37" s="36"/>
      <c r="M37" s="36">
        <v>0</v>
      </c>
      <c r="N37" s="36">
        <v>0</v>
      </c>
      <c r="O37" s="36">
        <v>0</v>
      </c>
      <c r="P37" s="36"/>
      <c r="Q37" s="36">
        <v>0</v>
      </c>
      <c r="R37" s="36">
        <v>0</v>
      </c>
      <c r="S37" s="36">
        <v>0</v>
      </c>
      <c r="T37" s="36"/>
    </row>
    <row r="38" spans="1:20" ht="12.75">
      <c r="A38" s="78">
        <f t="shared" si="4"/>
        <v>22</v>
      </c>
      <c r="B38" s="36" t="s">
        <v>527</v>
      </c>
      <c r="C38" s="36">
        <f t="shared" si="0"/>
        <v>1.3000000000029104</v>
      </c>
      <c r="D38" s="36">
        <f t="shared" si="1"/>
        <v>90601.95</v>
      </c>
      <c r="E38" s="36"/>
      <c r="F38" s="36"/>
      <c r="G38" s="36">
        <f t="shared" si="2"/>
        <v>45302</v>
      </c>
      <c r="H38" s="77" t="str">
        <f t="shared" si="6"/>
        <v> </v>
      </c>
      <c r="I38" s="36">
        <f t="shared" si="3"/>
        <v>0</v>
      </c>
      <c r="J38" s="36">
        <f t="shared" si="5"/>
        <v>-62</v>
      </c>
      <c r="K38" s="36">
        <f t="shared" si="5"/>
        <v>45364</v>
      </c>
      <c r="L38" s="36"/>
      <c r="M38" s="36">
        <v>0</v>
      </c>
      <c r="N38" s="36">
        <f>-38732.75+38733</f>
        <v>0.25</v>
      </c>
      <c r="O38" s="36">
        <f>-90725.95+90727</f>
        <v>1.0500000000029104</v>
      </c>
      <c r="P38" s="36"/>
      <c r="Q38" s="36">
        <v>0</v>
      </c>
      <c r="R38" s="36">
        <f>-38858.05+38733</f>
        <v>-125.05000000000291</v>
      </c>
      <c r="S38" s="36">
        <v>90727</v>
      </c>
      <c r="T38" s="36"/>
    </row>
    <row r="39" spans="1:20" ht="12.75">
      <c r="A39" s="78">
        <f t="shared" si="4"/>
        <v>23</v>
      </c>
      <c r="B39" s="36" t="s">
        <v>528</v>
      </c>
      <c r="C39" s="36">
        <f>SUM(M39:O39)</f>
        <v>22333.5</v>
      </c>
      <c r="D39" s="36">
        <f t="shared" si="1"/>
        <v>5505.5</v>
      </c>
      <c r="E39" s="36"/>
      <c r="F39" s="36"/>
      <c r="G39" s="36">
        <f t="shared" si="2"/>
        <v>13920</v>
      </c>
      <c r="H39" s="77" t="str">
        <f>IF((SUM(I39:K39)-G39)&gt;1,"E"," ")</f>
        <v> </v>
      </c>
      <c r="I39" s="36">
        <f t="shared" si="3"/>
        <v>0</v>
      </c>
      <c r="J39" s="36">
        <f t="shared" si="5"/>
        <v>4986</v>
      </c>
      <c r="K39" s="36">
        <f t="shared" si="5"/>
        <v>8933</v>
      </c>
      <c r="L39" s="36"/>
      <c r="M39" s="36">
        <v>0</v>
      </c>
      <c r="N39" s="36">
        <v>4466.7</v>
      </c>
      <c r="O39" s="36">
        <v>17866.8</v>
      </c>
      <c r="P39" s="36"/>
      <c r="Q39" s="36">
        <v>0</v>
      </c>
      <c r="R39" s="36">
        <v>5505.5</v>
      </c>
      <c r="S39" s="36">
        <v>0</v>
      </c>
      <c r="T39" s="36"/>
    </row>
    <row r="40" spans="1:20" ht="12.75">
      <c r="A40" s="78">
        <f t="shared" si="4"/>
        <v>24</v>
      </c>
      <c r="B40" s="36" t="s">
        <v>192</v>
      </c>
      <c r="C40" s="36">
        <f t="shared" si="0"/>
        <v>2369.1</v>
      </c>
      <c r="D40" s="36">
        <f t="shared" si="1"/>
        <v>2369.1</v>
      </c>
      <c r="E40" s="36"/>
      <c r="F40" s="36"/>
      <c r="G40" s="36">
        <f t="shared" si="2"/>
        <v>2369</v>
      </c>
      <c r="H40" s="77" t="str">
        <f t="shared" si="6"/>
        <v> </v>
      </c>
      <c r="I40" s="36">
        <f t="shared" si="3"/>
        <v>0</v>
      </c>
      <c r="J40" s="36">
        <f t="shared" si="5"/>
        <v>0</v>
      </c>
      <c r="K40" s="36">
        <f t="shared" si="5"/>
        <v>2369</v>
      </c>
      <c r="L40" s="36"/>
      <c r="M40" s="36">
        <v>0</v>
      </c>
      <c r="N40" s="36">
        <v>0</v>
      </c>
      <c r="O40" s="36">
        <v>2369.1</v>
      </c>
      <c r="P40" s="36"/>
      <c r="Q40" s="36">
        <v>0</v>
      </c>
      <c r="R40" s="36">
        <v>0</v>
      </c>
      <c r="S40" s="36">
        <v>2369.1</v>
      </c>
      <c r="T40" s="36"/>
    </row>
    <row r="41" spans="1:20" ht="12.75">
      <c r="A41" s="78">
        <f t="shared" si="4"/>
        <v>25</v>
      </c>
      <c r="B41" s="36" t="s">
        <v>195</v>
      </c>
      <c r="C41" s="36">
        <f>SUM(M41:O41)</f>
        <v>-3223.5</v>
      </c>
      <c r="D41" s="36">
        <f t="shared" si="1"/>
        <v>-3223.5</v>
      </c>
      <c r="E41" s="36"/>
      <c r="F41" s="36"/>
      <c r="G41" s="36">
        <f t="shared" si="2"/>
        <v>-3224</v>
      </c>
      <c r="H41" s="77" t="str">
        <f>IF((SUM(I41:K41)-G41)&gt;1,"E"," ")</f>
        <v> </v>
      </c>
      <c r="I41" s="36">
        <f t="shared" si="3"/>
        <v>0</v>
      </c>
      <c r="J41" s="36">
        <f t="shared" si="5"/>
        <v>0</v>
      </c>
      <c r="K41" s="36">
        <f t="shared" si="5"/>
        <v>-3224</v>
      </c>
      <c r="L41" s="36"/>
      <c r="M41" s="36">
        <v>0</v>
      </c>
      <c r="N41" s="36">
        <v>0</v>
      </c>
      <c r="O41" s="36">
        <v>-3223.5</v>
      </c>
      <c r="P41" s="36"/>
      <c r="Q41" s="36">
        <v>0</v>
      </c>
      <c r="R41" s="36">
        <v>0</v>
      </c>
      <c r="S41" s="36">
        <v>-3223.5</v>
      </c>
      <c r="T41" s="36"/>
    </row>
    <row r="42" spans="1:20" ht="12.75">
      <c r="A42" s="78">
        <f t="shared" si="4"/>
        <v>26</v>
      </c>
      <c r="B42" s="36" t="s">
        <v>112</v>
      </c>
      <c r="C42" s="36">
        <f t="shared" si="0"/>
        <v>0</v>
      </c>
      <c r="D42" s="36">
        <f>SUM(Q42:S42)</f>
        <v>0</v>
      </c>
      <c r="E42" s="36"/>
      <c r="F42" s="36"/>
      <c r="G42" s="36">
        <f t="shared" si="2"/>
        <v>0</v>
      </c>
      <c r="H42" s="77" t="str">
        <f t="shared" si="6"/>
        <v> </v>
      </c>
      <c r="I42" s="36">
        <f>(+M42+Q42)/2</f>
        <v>0</v>
      </c>
      <c r="J42" s="36">
        <f t="shared" si="5"/>
        <v>0</v>
      </c>
      <c r="K42" s="36">
        <f t="shared" si="5"/>
        <v>0</v>
      </c>
      <c r="L42" s="36"/>
      <c r="M42" s="36">
        <v>0</v>
      </c>
      <c r="N42" s="36">
        <v>0</v>
      </c>
      <c r="O42" s="36">
        <v>0</v>
      </c>
      <c r="P42" s="36"/>
      <c r="Q42" s="36">
        <v>0</v>
      </c>
      <c r="R42" s="36">
        <v>0</v>
      </c>
      <c r="S42" s="36">
        <v>0</v>
      </c>
      <c r="T42" s="36"/>
    </row>
    <row r="43" spans="1:20" ht="12.75">
      <c r="A43" s="78">
        <f t="shared" si="4"/>
        <v>27</v>
      </c>
      <c r="B43" s="36" t="s">
        <v>196</v>
      </c>
      <c r="C43" s="36">
        <f>SUM(M43:O43)</f>
        <v>101</v>
      </c>
      <c r="D43" s="36">
        <f>SUM(Q43:S43)</f>
        <v>101</v>
      </c>
      <c r="E43" s="36"/>
      <c r="F43" s="36"/>
      <c r="G43" s="36">
        <f>ROUND(SUM(C43:F43)/2,0)</f>
        <v>101</v>
      </c>
      <c r="H43" s="77" t="str">
        <f>IF((SUM(I43:K43)-G43)&gt;1,"E"," ")</f>
        <v> </v>
      </c>
      <c r="I43" s="36">
        <f>(+M43+Q43)/2</f>
        <v>0</v>
      </c>
      <c r="J43" s="36">
        <f t="shared" si="5"/>
        <v>101</v>
      </c>
      <c r="K43" s="36">
        <f t="shared" si="5"/>
        <v>0</v>
      </c>
      <c r="L43" s="36"/>
      <c r="M43" s="36">
        <v>0</v>
      </c>
      <c r="N43" s="36">
        <v>101</v>
      </c>
      <c r="O43" s="36">
        <v>0</v>
      </c>
      <c r="P43" s="36"/>
      <c r="Q43" s="36">
        <v>0</v>
      </c>
      <c r="R43" s="36">
        <v>101</v>
      </c>
      <c r="S43" s="36">
        <v>0</v>
      </c>
      <c r="T43" s="36"/>
    </row>
    <row r="44" spans="1:20" ht="12.75">
      <c r="A44" s="78">
        <f t="shared" si="4"/>
        <v>28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2.75">
      <c r="A45" s="78">
        <f t="shared" si="4"/>
        <v>29</v>
      </c>
      <c r="B45" s="36" t="s">
        <v>529</v>
      </c>
      <c r="C45" s="36">
        <v>5538.91</v>
      </c>
      <c r="D45" s="36">
        <v>-52705.64</v>
      </c>
      <c r="E45" s="36">
        <f aca="true" t="shared" si="7" ref="E45:F47">-C45</f>
        <v>-5538.91</v>
      </c>
      <c r="F45" s="36">
        <f t="shared" si="7"/>
        <v>52705.64</v>
      </c>
      <c r="G45" s="36">
        <f>ROUND(SUM(C45:F45)/2,0)</f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2.75">
      <c r="A46" s="78">
        <f t="shared" si="4"/>
        <v>30</v>
      </c>
      <c r="B46" s="36" t="s">
        <v>197</v>
      </c>
      <c r="C46" s="36">
        <v>3539774.56</v>
      </c>
      <c r="D46" s="36">
        <v>3107794.67</v>
      </c>
      <c r="E46" s="36">
        <f t="shared" si="7"/>
        <v>-3539774.56</v>
      </c>
      <c r="F46" s="36">
        <f t="shared" si="7"/>
        <v>-3107794.67</v>
      </c>
      <c r="G46" s="36">
        <f>ROUND(SUM(C46:F46)/2,0)</f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2.75">
      <c r="A47" s="78">
        <f t="shared" si="4"/>
        <v>31</v>
      </c>
      <c r="B47" s="36" t="s">
        <v>198</v>
      </c>
      <c r="C47" s="36">
        <v>-1327.3</v>
      </c>
      <c r="D47" s="36">
        <v>-729.08</v>
      </c>
      <c r="E47" s="36">
        <f t="shared" si="7"/>
        <v>1327.3</v>
      </c>
      <c r="F47" s="36">
        <f t="shared" si="7"/>
        <v>729.08</v>
      </c>
      <c r="G47" s="36">
        <f>ROUND(SUM(C47:F47)/2,0)</f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4.25">
      <c r="A48" s="78">
        <f t="shared" si="4"/>
        <v>32</v>
      </c>
      <c r="B48" s="15" t="s">
        <v>658</v>
      </c>
      <c r="C48" s="36">
        <v>-415789.76</v>
      </c>
      <c r="D48" s="36">
        <v>0</v>
      </c>
      <c r="E48" s="36">
        <f>-C48</f>
        <v>415789.76</v>
      </c>
      <c r="F48" s="36">
        <f>-D48</f>
        <v>0</v>
      </c>
      <c r="G48" s="36">
        <f>ROUND(SUM(C48:F48)/2,0)</f>
        <v>0</v>
      </c>
      <c r="H48" s="79"/>
      <c r="I48" s="36"/>
      <c r="J48" s="36"/>
      <c r="K48" s="36"/>
      <c r="L48" s="79"/>
      <c r="M48" s="36"/>
      <c r="N48" s="36"/>
      <c r="O48" s="36"/>
      <c r="P48" s="36"/>
      <c r="Q48" s="36"/>
      <c r="R48" s="36"/>
      <c r="S48" s="36"/>
      <c r="T48" s="36"/>
    </row>
    <row r="49" spans="1:20" ht="12.75">
      <c r="A49" s="78">
        <f t="shared" si="4"/>
        <v>33</v>
      </c>
      <c r="B49" s="36" t="s">
        <v>200</v>
      </c>
      <c r="C49" s="36">
        <v>0</v>
      </c>
      <c r="D49" s="36">
        <v>-521608.5</v>
      </c>
      <c r="E49" s="36">
        <f>-C49</f>
        <v>0</v>
      </c>
      <c r="F49" s="36">
        <f>-D49</f>
        <v>521608.5</v>
      </c>
      <c r="G49" s="36">
        <f>ROUND(SUM(C49:F49)/2,0)</f>
        <v>0</v>
      </c>
      <c r="H49" s="79"/>
      <c r="I49" s="36"/>
      <c r="J49" s="36"/>
      <c r="K49" s="36"/>
      <c r="L49" s="79"/>
      <c r="M49" s="36"/>
      <c r="N49" s="36"/>
      <c r="O49" s="36"/>
      <c r="P49" s="36"/>
      <c r="Q49" s="36"/>
      <c r="R49" s="36"/>
      <c r="S49" s="36"/>
      <c r="T49" s="36"/>
    </row>
    <row r="50" spans="1:20" ht="12.75">
      <c r="A50" s="78">
        <f t="shared" si="4"/>
        <v>34</v>
      </c>
      <c r="B50" s="36"/>
      <c r="C50" s="36"/>
      <c r="D50" s="36"/>
      <c r="E50" s="36"/>
      <c r="F50" s="36"/>
      <c r="G50" s="36"/>
      <c r="H50" s="79"/>
      <c r="I50" s="36"/>
      <c r="J50" s="36"/>
      <c r="K50" s="36"/>
      <c r="L50" s="79"/>
      <c r="M50" s="36"/>
      <c r="N50" s="36"/>
      <c r="O50" s="36"/>
      <c r="P50" s="36"/>
      <c r="Q50" s="36"/>
      <c r="R50" s="36"/>
      <c r="S50" s="36"/>
      <c r="T50" s="36"/>
    </row>
    <row r="51" spans="1:20" ht="13.5" thickBot="1">
      <c r="A51" s="78">
        <f t="shared" si="4"/>
        <v>35</v>
      </c>
      <c r="B51" s="36" t="s">
        <v>204</v>
      </c>
      <c r="C51" s="48">
        <f>SUM(C17:C50)</f>
        <v>6020006.260000001</v>
      </c>
      <c r="D51" s="48">
        <f>SUM(D17:D50)</f>
        <v>5329384.160000001</v>
      </c>
      <c r="E51" s="48">
        <f>SUM(E17:E50)</f>
        <v>-3128196.41</v>
      </c>
      <c r="F51" s="48">
        <f>SUM(F17:F50)</f>
        <v>-2532751.4499999997</v>
      </c>
      <c r="G51" s="48">
        <f>SUM(G17:G50)</f>
        <v>2844221</v>
      </c>
      <c r="H51" s="79"/>
      <c r="I51" s="48">
        <f>SUM(I17:I50)</f>
        <v>0</v>
      </c>
      <c r="J51" s="48">
        <f>SUM(J17:J50)</f>
        <v>858172</v>
      </c>
      <c r="K51" s="48">
        <f>SUM(K17:K50)</f>
        <v>1986050</v>
      </c>
      <c r="L51" s="79"/>
      <c r="M51" s="48">
        <f>SUM(M17:M50)</f>
        <v>0</v>
      </c>
      <c r="N51" s="48">
        <f>SUM(N17:N50)</f>
        <v>939509.62</v>
      </c>
      <c r="O51" s="48">
        <f>SUM(O17:O50)</f>
        <v>1952300.2300000002</v>
      </c>
      <c r="P51" s="36"/>
      <c r="Q51" s="48">
        <f>SUM(Q17:Q50)</f>
        <v>0</v>
      </c>
      <c r="R51" s="48">
        <f>SUM(R17:R50)</f>
        <v>776831.44</v>
      </c>
      <c r="S51" s="48">
        <f>SUM(S17:S50)</f>
        <v>2019801.27</v>
      </c>
      <c r="T51" s="36"/>
    </row>
    <row r="52" spans="1:20" ht="13.5" thickTop="1">
      <c r="A52" s="80"/>
      <c r="B52" s="36"/>
      <c r="C52" s="49"/>
      <c r="D52" s="49"/>
      <c r="E52" s="49"/>
      <c r="F52" s="49"/>
      <c r="G52" s="49"/>
      <c r="H52" s="79"/>
      <c r="I52" s="49"/>
      <c r="J52" s="49"/>
      <c r="K52" s="49"/>
      <c r="L52" s="79"/>
      <c r="M52" s="49"/>
      <c r="N52" s="49"/>
      <c r="O52" s="49"/>
      <c r="P52" s="36"/>
      <c r="Q52" s="49"/>
      <c r="R52" s="49"/>
      <c r="S52" s="49"/>
      <c r="T52" s="36"/>
    </row>
    <row r="53" spans="1:20" ht="12.75">
      <c r="A53" s="4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79"/>
      <c r="M53" s="36"/>
      <c r="N53" s="36"/>
      <c r="O53" s="36"/>
      <c r="P53" s="36"/>
      <c r="Q53" s="36"/>
      <c r="R53" s="36"/>
      <c r="S53" s="36"/>
      <c r="T53" s="36"/>
    </row>
    <row r="54" spans="1:20" ht="12.75">
      <c r="A54" s="45"/>
      <c r="B54" s="36"/>
      <c r="C54" s="36"/>
      <c r="D54" s="36" t="s">
        <v>67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12.75">
      <c r="A55" s="4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</sheetData>
  <sheetProtection/>
  <printOptions/>
  <pageMargins left="0.5" right="0.25" top="0.75" bottom="0.5" header="0.25" footer="0.25"/>
  <pageSetup horizontalDpi="600" verticalDpi="600" orientation="portrait" scale="75" r:id="rId1"/>
  <headerFooter alignWithMargins="0">
    <oddHeader>&amp;RSTATEMENT AG-3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2"/>
  <sheetViews>
    <sheetView showOutlineSymbols="0" zoomScale="87" zoomScaleNormal="87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5" sqref="B5"/>
    </sheetView>
  </sheetViews>
  <sheetFormatPr defaultColWidth="12.7109375" defaultRowHeight="15"/>
  <cols>
    <col min="1" max="1" width="5.8515625" style="23" customWidth="1"/>
    <col min="2" max="2" width="48.28125" style="4" customWidth="1"/>
    <col min="3" max="3" width="14.140625" style="24" customWidth="1"/>
    <col min="4" max="4" width="13.57421875" style="24" customWidth="1"/>
    <col min="5" max="5" width="15.8515625" style="24" customWidth="1"/>
    <col min="6" max="6" width="16.421875" style="24" customWidth="1"/>
    <col min="7" max="7" width="18.421875" style="24" customWidth="1"/>
    <col min="8" max="8" width="3.140625" style="24" customWidth="1"/>
    <col min="9" max="11" width="18.421875" style="24" customWidth="1"/>
    <col min="12" max="12" width="3.00390625" style="24" customWidth="1"/>
    <col min="13" max="13" width="14.00390625" style="4" customWidth="1"/>
    <col min="14" max="14" width="15.8515625" style="4" customWidth="1"/>
    <col min="15" max="15" width="15.140625" style="4" customWidth="1"/>
    <col min="16" max="16" width="2.8515625" style="4" customWidth="1"/>
    <col min="17" max="17" width="14.140625" style="4" customWidth="1"/>
    <col min="18" max="18" width="15.8515625" style="4" customWidth="1"/>
    <col min="19" max="19" width="19.28125" style="4" customWidth="1"/>
    <col min="20" max="20" width="17.7109375" style="24" bestFit="1" customWidth="1"/>
    <col min="21" max="16384" width="12.7109375" style="24" customWidth="1"/>
  </cols>
  <sheetData>
    <row r="1" spans="2:20" ht="15">
      <c r="B1" s="3" t="s">
        <v>0</v>
      </c>
      <c r="F1" s="4"/>
      <c r="G1" s="14"/>
      <c r="H1" s="14"/>
      <c r="I1" s="14"/>
      <c r="J1" s="14"/>
      <c r="K1" s="14"/>
      <c r="L1" s="14"/>
      <c r="O1" s="14"/>
      <c r="S1" s="14"/>
      <c r="T1" s="14"/>
    </row>
    <row r="2" spans="2:20" ht="15">
      <c r="B2" s="3" t="s">
        <v>123</v>
      </c>
      <c r="G2" s="25"/>
      <c r="H2" s="25"/>
      <c r="I2" s="25"/>
      <c r="J2" s="25"/>
      <c r="K2" s="25"/>
      <c r="L2" s="25"/>
      <c r="O2" s="25"/>
      <c r="S2" s="25"/>
      <c r="T2" s="25"/>
    </row>
    <row r="3" ht="15">
      <c r="B3" s="3" t="s">
        <v>579</v>
      </c>
    </row>
    <row r="4" ht="15">
      <c r="B4" s="17"/>
    </row>
    <row r="5" ht="15">
      <c r="B5" s="7"/>
    </row>
    <row r="6" spans="7:12" ht="15">
      <c r="G6" s="26" t="s">
        <v>124</v>
      </c>
      <c r="H6" s="26"/>
      <c r="I6" s="26"/>
      <c r="J6" s="26"/>
      <c r="K6" s="26"/>
      <c r="L6" s="26"/>
    </row>
    <row r="7" ht="15"/>
    <row r="8" spans="2:19" ht="15">
      <c r="B8" s="8" t="s">
        <v>3</v>
      </c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/>
      <c r="I8" s="27" t="s">
        <v>9</v>
      </c>
      <c r="J8" s="27" t="s">
        <v>10</v>
      </c>
      <c r="K8" s="27" t="s">
        <v>11</v>
      </c>
      <c r="L8" s="27"/>
      <c r="M8" s="8" t="s">
        <v>12</v>
      </c>
      <c r="N8" s="8" t="s">
        <v>13</v>
      </c>
      <c r="O8" s="8" t="s">
        <v>14</v>
      </c>
      <c r="Q8" s="8" t="s">
        <v>15</v>
      </c>
      <c r="R8" s="8" t="s">
        <v>16</v>
      </c>
      <c r="S8" s="8" t="s">
        <v>17</v>
      </c>
    </row>
    <row r="9" ht="15"/>
    <row r="10" spans="3:19" ht="15">
      <c r="C10" s="28" t="s">
        <v>18</v>
      </c>
      <c r="D10" s="28"/>
      <c r="E10" s="29" t="s">
        <v>19</v>
      </c>
      <c r="F10" s="28"/>
      <c r="G10" s="30" t="s">
        <v>20</v>
      </c>
      <c r="H10" s="30"/>
      <c r="I10" s="31" t="s">
        <v>21</v>
      </c>
      <c r="J10" s="28"/>
      <c r="K10" s="28"/>
      <c r="L10" s="30"/>
      <c r="M10" s="32" t="s">
        <v>580</v>
      </c>
      <c r="N10" s="9"/>
      <c r="O10" s="9"/>
      <c r="Q10" s="32" t="s">
        <v>530</v>
      </c>
      <c r="R10" s="9"/>
      <c r="S10" s="9"/>
    </row>
    <row r="11" spans="3:19" ht="15">
      <c r="C11" s="33"/>
      <c r="D11" s="33"/>
      <c r="G11" s="30" t="s">
        <v>22</v>
      </c>
      <c r="H11" s="30"/>
      <c r="I11" s="33"/>
      <c r="J11" s="33"/>
      <c r="K11" s="33"/>
      <c r="L11" s="30"/>
      <c r="M11" s="13"/>
      <c r="N11" s="13"/>
      <c r="O11" s="13"/>
      <c r="Q11" s="13"/>
      <c r="R11" s="13"/>
      <c r="S11" s="13"/>
    </row>
    <row r="12" spans="3:12" ht="15">
      <c r="C12" s="30" t="s">
        <v>23</v>
      </c>
      <c r="D12" s="30" t="s">
        <v>23</v>
      </c>
      <c r="E12" s="30" t="s">
        <v>23</v>
      </c>
      <c r="F12" s="30" t="s">
        <v>23</v>
      </c>
      <c r="G12" s="30" t="s">
        <v>24</v>
      </c>
      <c r="H12" s="30"/>
      <c r="L12" s="30"/>
    </row>
    <row r="13" spans="2:19" ht="15">
      <c r="B13" s="8" t="s">
        <v>25</v>
      </c>
      <c r="C13" s="27" t="s">
        <v>581</v>
      </c>
      <c r="D13" s="27" t="s">
        <v>531</v>
      </c>
      <c r="E13" s="27" t="s">
        <v>581</v>
      </c>
      <c r="F13" s="27" t="s">
        <v>531</v>
      </c>
      <c r="G13" s="27" t="s">
        <v>26</v>
      </c>
      <c r="H13" s="27"/>
      <c r="I13" s="27" t="s">
        <v>27</v>
      </c>
      <c r="J13" s="27" t="s">
        <v>28</v>
      </c>
      <c r="K13" s="27" t="s">
        <v>29</v>
      </c>
      <c r="L13" s="27"/>
      <c r="M13" s="8" t="s">
        <v>27</v>
      </c>
      <c r="N13" s="8" t="s">
        <v>28</v>
      </c>
      <c r="O13" s="8" t="s">
        <v>29</v>
      </c>
      <c r="Q13" s="8" t="s">
        <v>27</v>
      </c>
      <c r="R13" s="8" t="s">
        <v>28</v>
      </c>
      <c r="S13" s="8" t="s">
        <v>29</v>
      </c>
    </row>
    <row r="14" ht="15"/>
    <row r="15" spans="1:27" ht="15">
      <c r="A15" s="34"/>
      <c r="B15" s="20" t="s">
        <v>125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4"/>
      <c r="AA15" s="4"/>
    </row>
    <row r="16" spans="1:27" ht="15">
      <c r="A16" s="3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4"/>
      <c r="AA16" s="4"/>
    </row>
    <row r="17" spans="1:27" ht="15">
      <c r="A17" s="35">
        <v>1</v>
      </c>
      <c r="B17" s="14" t="s">
        <v>126</v>
      </c>
      <c r="C17" s="15">
        <f>SUM(M17:O17)</f>
        <v>14317780.75</v>
      </c>
      <c r="D17" s="15">
        <f>SUM(Q17:S17)</f>
        <v>26697813.75</v>
      </c>
      <c r="E17" s="15"/>
      <c r="F17" s="15"/>
      <c r="G17" s="15">
        <f>ROUND(SUM(C17:F17)/2,0)</f>
        <v>20507797</v>
      </c>
      <c r="H17" s="15"/>
      <c r="I17" s="15">
        <f>(+M17+Q17)/2</f>
        <v>16617370.5</v>
      </c>
      <c r="J17" s="15">
        <f>(+N17+R17)/2</f>
        <v>0</v>
      </c>
      <c r="K17" s="15">
        <f>(+O17+S17)/2</f>
        <v>3890426.75</v>
      </c>
      <c r="L17" s="15"/>
      <c r="M17" s="36">
        <v>12902718</v>
      </c>
      <c r="N17" s="15">
        <v>0</v>
      </c>
      <c r="O17" s="15">
        <f>1405303+9759.75</f>
        <v>1415062.75</v>
      </c>
      <c r="P17" s="15"/>
      <c r="Q17" s="15">
        <f>12928893+7403130</f>
        <v>20332023</v>
      </c>
      <c r="R17" s="15">
        <v>0</v>
      </c>
      <c r="S17" s="15">
        <f>1386131+9759.75+4969900</f>
        <v>6365790.75</v>
      </c>
      <c r="T17" s="15"/>
      <c r="U17" s="15"/>
      <c r="V17" s="15"/>
      <c r="W17" s="15"/>
      <c r="X17" s="15"/>
      <c r="Y17" s="15"/>
      <c r="Z17" s="4"/>
      <c r="AA17" s="4"/>
    </row>
    <row r="18" spans="1:27" ht="15">
      <c r="A18" s="35">
        <f aca="true" t="shared" si="0" ref="A18:A81">A17+1</f>
        <v>2</v>
      </c>
      <c r="B18" s="14" t="s">
        <v>37</v>
      </c>
      <c r="C18" s="15">
        <f>SUM(M18:O18)</f>
        <v>0</v>
      </c>
      <c r="D18" s="15">
        <f>SUM(Q18:S18)</f>
        <v>20489.4</v>
      </c>
      <c r="E18" s="15"/>
      <c r="F18" s="15"/>
      <c r="G18" s="15">
        <f>ROUND(SUM(C18:F18)/2,0)</f>
        <v>10245</v>
      </c>
      <c r="H18" s="15"/>
      <c r="I18" s="15">
        <f aca="true" t="shared" si="1" ref="I18:K85">(+M18+Q18)/2</f>
        <v>0</v>
      </c>
      <c r="J18" s="15">
        <f t="shared" si="1"/>
        <v>10244.7</v>
      </c>
      <c r="K18" s="15">
        <f t="shared" si="1"/>
        <v>0</v>
      </c>
      <c r="L18" s="15"/>
      <c r="M18" s="15">
        <v>0</v>
      </c>
      <c r="N18" s="15">
        <v>0</v>
      </c>
      <c r="O18" s="15">
        <v>0</v>
      </c>
      <c r="P18" s="15"/>
      <c r="Q18" s="15">
        <v>0</v>
      </c>
      <c r="R18" s="15">
        <v>20489.4</v>
      </c>
      <c r="S18" s="15">
        <v>0</v>
      </c>
      <c r="T18" s="15"/>
      <c r="U18" s="15"/>
      <c r="V18" s="15"/>
      <c r="W18" s="15"/>
      <c r="X18" s="15"/>
      <c r="Y18" s="15"/>
      <c r="Z18" s="4"/>
      <c r="AA18" s="4"/>
    </row>
    <row r="19" spans="1:27" ht="15">
      <c r="A19" s="35">
        <f t="shared" si="0"/>
        <v>3</v>
      </c>
      <c r="B19" s="15" t="s">
        <v>127</v>
      </c>
      <c r="C19" s="15">
        <f aca="true" t="shared" si="2" ref="C19:C82">SUM(M19:O19)</f>
        <v>72823655.56</v>
      </c>
      <c r="D19" s="15">
        <f aca="true" t="shared" si="3" ref="D19:D82">SUM(Q19:S19)</f>
        <v>73335203.22</v>
      </c>
      <c r="E19" s="15"/>
      <c r="F19" s="15"/>
      <c r="G19" s="15">
        <f aca="true" t="shared" si="4" ref="G19:G82">ROUND(SUM(C19:F19)/2,0)</f>
        <v>73079429</v>
      </c>
      <c r="H19" s="15"/>
      <c r="I19" s="15">
        <f t="shared" si="1"/>
        <v>54925372.015</v>
      </c>
      <c r="J19" s="15">
        <f t="shared" si="1"/>
        <v>13235152.15</v>
      </c>
      <c r="K19" s="15">
        <f t="shared" si="1"/>
        <v>4918905.225</v>
      </c>
      <c r="L19" s="15"/>
      <c r="M19" s="15">
        <f>69210904.22-14991411</f>
        <v>54219493.22</v>
      </c>
      <c r="N19" s="15">
        <f>19892397.89-6165980</f>
        <v>13726417.89</v>
      </c>
      <c r="O19" s="15">
        <f>9732656.45-4854912</f>
        <v>4877744.449999999</v>
      </c>
      <c r="P19" s="15"/>
      <c r="Q19" s="15">
        <f>68343516.81-12712266</f>
        <v>55631250.81</v>
      </c>
      <c r="R19" s="15">
        <f>18277073.41-5533187</f>
        <v>12743886.41</v>
      </c>
      <c r="S19" s="15">
        <f>9494599-4534533</f>
        <v>4960066</v>
      </c>
      <c r="T19" s="15"/>
      <c r="U19" s="15"/>
      <c r="V19" s="15"/>
      <c r="W19" s="15"/>
      <c r="X19" s="15"/>
      <c r="Y19" s="15"/>
      <c r="Z19" s="4"/>
      <c r="AA19" s="4"/>
    </row>
    <row r="20" spans="1:27" ht="15">
      <c r="A20" s="35">
        <f t="shared" si="0"/>
        <v>4</v>
      </c>
      <c r="B20" s="20" t="s">
        <v>128</v>
      </c>
      <c r="C20" s="15">
        <f>SUM(M20:O20)</f>
        <v>0</v>
      </c>
      <c r="D20" s="15">
        <f>SUM(Q20:S20)</f>
        <v>0</v>
      </c>
      <c r="E20" s="15"/>
      <c r="F20" s="15"/>
      <c r="G20" s="15">
        <f>ROUND(SUM(C20:F20)/2,0)</f>
        <v>0</v>
      </c>
      <c r="H20" s="15"/>
      <c r="I20" s="15">
        <f t="shared" si="1"/>
        <v>0</v>
      </c>
      <c r="J20" s="15">
        <f t="shared" si="1"/>
        <v>0</v>
      </c>
      <c r="K20" s="15">
        <f t="shared" si="1"/>
        <v>0</v>
      </c>
      <c r="L20" s="15"/>
      <c r="M20" s="15">
        <v>0</v>
      </c>
      <c r="N20" s="15">
        <v>0</v>
      </c>
      <c r="O20" s="15">
        <v>0</v>
      </c>
      <c r="P20" s="15"/>
      <c r="Q20" s="15">
        <v>0</v>
      </c>
      <c r="R20" s="15">
        <v>0</v>
      </c>
      <c r="S20" s="15">
        <v>0</v>
      </c>
      <c r="T20" s="15"/>
      <c r="U20" s="15"/>
      <c r="V20" s="15"/>
      <c r="W20" s="15"/>
      <c r="X20" s="15"/>
      <c r="Y20" s="15"/>
      <c r="Z20" s="4"/>
      <c r="AA20" s="4"/>
    </row>
    <row r="21" spans="1:27" ht="14.25">
      <c r="A21" s="35">
        <f t="shared" si="0"/>
        <v>5</v>
      </c>
      <c r="B21" s="20" t="s">
        <v>129</v>
      </c>
      <c r="C21" s="15">
        <f t="shared" si="2"/>
        <v>6136761.050000001</v>
      </c>
      <c r="D21" s="15">
        <f t="shared" si="3"/>
        <v>6374976.69</v>
      </c>
      <c r="E21" s="15"/>
      <c r="F21" s="15"/>
      <c r="G21" s="15">
        <f t="shared" si="4"/>
        <v>6255869</v>
      </c>
      <c r="H21" s="15"/>
      <c r="I21" s="15">
        <f t="shared" si="1"/>
        <v>0</v>
      </c>
      <c r="J21" s="15">
        <f t="shared" si="1"/>
        <v>228894.2</v>
      </c>
      <c r="K21" s="15">
        <f t="shared" si="1"/>
        <v>6026974.67</v>
      </c>
      <c r="L21" s="15"/>
      <c r="M21" s="15">
        <v>0</v>
      </c>
      <c r="N21" s="15">
        <v>233579.65</v>
      </c>
      <c r="O21" s="15">
        <v>5903181.4</v>
      </c>
      <c r="P21" s="15"/>
      <c r="Q21" s="15">
        <v>0</v>
      </c>
      <c r="R21" s="15">
        <v>224208.75</v>
      </c>
      <c r="S21" s="15">
        <v>6150767.94</v>
      </c>
      <c r="T21" s="15"/>
      <c r="U21" s="15"/>
      <c r="V21" s="15"/>
      <c r="W21" s="15"/>
      <c r="X21" s="15"/>
      <c r="Y21" s="15"/>
      <c r="Z21" s="4"/>
      <c r="AA21" s="4"/>
    </row>
    <row r="22" spans="1:27" ht="14.25">
      <c r="A22" s="35">
        <f t="shared" si="0"/>
        <v>6</v>
      </c>
      <c r="B22" s="20" t="s">
        <v>130</v>
      </c>
      <c r="C22" s="15">
        <f t="shared" si="2"/>
        <v>559341.12</v>
      </c>
      <c r="D22" s="15">
        <f t="shared" si="3"/>
        <v>620222.22</v>
      </c>
      <c r="E22" s="15"/>
      <c r="F22" s="15"/>
      <c r="G22" s="15">
        <f t="shared" si="4"/>
        <v>589782</v>
      </c>
      <c r="H22" s="15"/>
      <c r="I22" s="15">
        <f t="shared" si="1"/>
        <v>0</v>
      </c>
      <c r="J22" s="15">
        <f t="shared" si="1"/>
        <v>589781.6699999999</v>
      </c>
      <c r="K22" s="15">
        <f t="shared" si="1"/>
        <v>0</v>
      </c>
      <c r="L22" s="15"/>
      <c r="M22" s="15">
        <v>0</v>
      </c>
      <c r="N22" s="15">
        <v>559341.12</v>
      </c>
      <c r="O22" s="15">
        <v>0</v>
      </c>
      <c r="P22" s="15"/>
      <c r="Q22" s="15">
        <v>0</v>
      </c>
      <c r="R22" s="15">
        <v>620222.22</v>
      </c>
      <c r="S22" s="15">
        <v>0</v>
      </c>
      <c r="T22" s="15"/>
      <c r="U22" s="15"/>
      <c r="V22" s="15"/>
      <c r="W22" s="15"/>
      <c r="X22" s="15"/>
      <c r="Y22" s="15"/>
      <c r="Z22" s="4"/>
      <c r="AA22" s="4"/>
    </row>
    <row r="23" spans="1:27" ht="14.25">
      <c r="A23" s="35">
        <f t="shared" si="0"/>
        <v>7</v>
      </c>
      <c r="B23" s="20" t="s">
        <v>131</v>
      </c>
      <c r="C23" s="15">
        <f t="shared" si="2"/>
        <v>2786795.43</v>
      </c>
      <c r="D23" s="15">
        <f t="shared" si="3"/>
        <v>3005552.13</v>
      </c>
      <c r="E23" s="15"/>
      <c r="F23" s="15"/>
      <c r="G23" s="15">
        <f t="shared" si="4"/>
        <v>2896174</v>
      </c>
      <c r="H23" s="15"/>
      <c r="I23" s="15">
        <f t="shared" si="1"/>
        <v>0</v>
      </c>
      <c r="J23" s="15">
        <f t="shared" si="1"/>
        <v>74572.6</v>
      </c>
      <c r="K23" s="15">
        <f t="shared" si="1"/>
        <v>2821601.1799999997</v>
      </c>
      <c r="L23" s="15"/>
      <c r="M23" s="15">
        <v>0</v>
      </c>
      <c r="N23" s="15">
        <v>117645.7</v>
      </c>
      <c r="O23" s="15">
        <v>2669149.73</v>
      </c>
      <c r="P23" s="15"/>
      <c r="Q23" s="15">
        <v>0</v>
      </c>
      <c r="R23" s="15">
        <v>31499.5</v>
      </c>
      <c r="S23" s="15">
        <v>2974052.63</v>
      </c>
      <c r="T23" s="15"/>
      <c r="U23" s="15"/>
      <c r="V23" s="15"/>
      <c r="W23" s="15"/>
      <c r="X23" s="15"/>
      <c r="Y23" s="15"/>
      <c r="Z23" s="4"/>
      <c r="AA23" s="4"/>
    </row>
    <row r="24" spans="1:27" ht="14.25">
      <c r="A24" s="35">
        <f t="shared" si="0"/>
        <v>8</v>
      </c>
      <c r="B24" s="20" t="s">
        <v>132</v>
      </c>
      <c r="C24" s="15">
        <f>SUM(M24:O24)</f>
        <v>0</v>
      </c>
      <c r="D24" s="15">
        <f>SUM(Q24:S24)</f>
        <v>0</v>
      </c>
      <c r="E24" s="15"/>
      <c r="F24" s="15"/>
      <c r="G24" s="15">
        <f>ROUND(SUM(C24:F24)/2,0)</f>
        <v>0</v>
      </c>
      <c r="H24" s="15"/>
      <c r="I24" s="15">
        <f t="shared" si="1"/>
        <v>0</v>
      </c>
      <c r="J24" s="15">
        <f t="shared" si="1"/>
        <v>0</v>
      </c>
      <c r="K24" s="15">
        <f t="shared" si="1"/>
        <v>0</v>
      </c>
      <c r="L24" s="15"/>
      <c r="M24" s="15">
        <v>0</v>
      </c>
      <c r="N24" s="15">
        <v>0</v>
      </c>
      <c r="O24" s="15">
        <v>0</v>
      </c>
      <c r="P24" s="15"/>
      <c r="Q24" s="15">
        <v>0</v>
      </c>
      <c r="R24" s="15">
        <v>0</v>
      </c>
      <c r="S24" s="15">
        <v>0</v>
      </c>
      <c r="T24" s="15"/>
      <c r="U24" s="15"/>
      <c r="V24" s="15"/>
      <c r="W24" s="15"/>
      <c r="X24" s="15"/>
      <c r="Y24" s="15"/>
      <c r="Z24" s="4"/>
      <c r="AA24" s="4"/>
    </row>
    <row r="25" spans="1:27" ht="14.25">
      <c r="A25" s="35">
        <f t="shared" si="0"/>
        <v>9</v>
      </c>
      <c r="B25" s="20" t="s">
        <v>133</v>
      </c>
      <c r="C25" s="15">
        <f t="shared" si="2"/>
        <v>0.1</v>
      </c>
      <c r="D25" s="15">
        <f t="shared" si="3"/>
        <v>45764894.09</v>
      </c>
      <c r="E25" s="15"/>
      <c r="F25" s="15"/>
      <c r="G25" s="15">
        <f t="shared" si="4"/>
        <v>22882447</v>
      </c>
      <c r="H25" s="15"/>
      <c r="I25" s="15">
        <f t="shared" si="1"/>
        <v>22882447.095000003</v>
      </c>
      <c r="J25" s="15">
        <f t="shared" si="1"/>
        <v>0</v>
      </c>
      <c r="K25" s="15">
        <f t="shared" si="1"/>
        <v>0</v>
      </c>
      <c r="L25" s="15"/>
      <c r="M25" s="15">
        <v>0.1</v>
      </c>
      <c r="N25" s="15">
        <v>0</v>
      </c>
      <c r="O25" s="15">
        <v>0</v>
      </c>
      <c r="P25" s="15"/>
      <c r="Q25" s="15">
        <v>45764894.09</v>
      </c>
      <c r="R25" s="15">
        <v>0</v>
      </c>
      <c r="S25" s="15">
        <v>0</v>
      </c>
      <c r="T25" s="15"/>
      <c r="U25" s="15"/>
      <c r="V25" s="15"/>
      <c r="W25" s="15"/>
      <c r="X25" s="15"/>
      <c r="Y25" s="15"/>
      <c r="Z25" s="4"/>
      <c r="AA25" s="4"/>
    </row>
    <row r="26" spans="1:27" ht="14.25">
      <c r="A26" s="35">
        <f t="shared" si="0"/>
        <v>10</v>
      </c>
      <c r="B26" s="20" t="s">
        <v>134</v>
      </c>
      <c r="C26" s="15">
        <f t="shared" si="2"/>
        <v>0</v>
      </c>
      <c r="D26" s="15">
        <f t="shared" si="3"/>
        <v>0</v>
      </c>
      <c r="E26" s="15"/>
      <c r="F26" s="15"/>
      <c r="G26" s="15">
        <f t="shared" si="4"/>
        <v>0</v>
      </c>
      <c r="H26" s="15"/>
      <c r="I26" s="15">
        <f t="shared" si="1"/>
        <v>0</v>
      </c>
      <c r="J26" s="15">
        <f t="shared" si="1"/>
        <v>0</v>
      </c>
      <c r="K26" s="15">
        <f t="shared" si="1"/>
        <v>0</v>
      </c>
      <c r="L26" s="15"/>
      <c r="M26" s="15">
        <v>0</v>
      </c>
      <c r="N26" s="15">
        <v>0</v>
      </c>
      <c r="O26" s="15">
        <v>0</v>
      </c>
      <c r="P26" s="15"/>
      <c r="Q26" s="15">
        <v>0</v>
      </c>
      <c r="R26" s="15">
        <v>0</v>
      </c>
      <c r="S26" s="15">
        <v>0</v>
      </c>
      <c r="T26" s="15"/>
      <c r="U26" s="15"/>
      <c r="V26" s="15"/>
      <c r="W26" s="15"/>
      <c r="X26" s="15"/>
      <c r="Y26" s="15"/>
      <c r="Z26" s="4"/>
      <c r="AA26" s="4"/>
    </row>
    <row r="27" spans="1:27" ht="14.25">
      <c r="A27" s="35">
        <f t="shared" si="0"/>
        <v>11</v>
      </c>
      <c r="B27" s="20" t="s">
        <v>135</v>
      </c>
      <c r="C27" s="15">
        <f t="shared" si="2"/>
        <v>12224577.17</v>
      </c>
      <c r="D27" s="15">
        <f t="shared" si="3"/>
        <v>2571282</v>
      </c>
      <c r="E27" s="15"/>
      <c r="F27" s="15"/>
      <c r="G27" s="15">
        <f t="shared" si="4"/>
        <v>7397930</v>
      </c>
      <c r="H27" s="15"/>
      <c r="I27" s="15">
        <f t="shared" si="1"/>
        <v>472954.135</v>
      </c>
      <c r="J27" s="15">
        <f t="shared" si="1"/>
        <v>1835033.955</v>
      </c>
      <c r="K27" s="15">
        <f t="shared" si="1"/>
        <v>5089941.495</v>
      </c>
      <c r="L27" s="15"/>
      <c r="M27" s="15">
        <v>91925.03</v>
      </c>
      <c r="N27" s="15">
        <v>1952769.14</v>
      </c>
      <c r="O27" s="15">
        <v>10179883</v>
      </c>
      <c r="P27" s="15"/>
      <c r="Q27" s="15">
        <v>853983.24</v>
      </c>
      <c r="R27" s="15">
        <v>1717298.77</v>
      </c>
      <c r="S27" s="15">
        <v>-0.01</v>
      </c>
      <c r="T27" s="15"/>
      <c r="U27" s="15"/>
      <c r="V27" s="15"/>
      <c r="W27" s="15"/>
      <c r="X27" s="15"/>
      <c r="Y27" s="15"/>
      <c r="Z27" s="4"/>
      <c r="AA27" s="4"/>
    </row>
    <row r="28" spans="1:27" ht="14.25">
      <c r="A28" s="35">
        <f t="shared" si="0"/>
        <v>12</v>
      </c>
      <c r="B28" s="20" t="s">
        <v>136</v>
      </c>
      <c r="C28" s="15">
        <f t="shared" si="2"/>
        <v>640.6</v>
      </c>
      <c r="D28" s="15">
        <f t="shared" si="3"/>
        <v>640.6</v>
      </c>
      <c r="E28" s="15"/>
      <c r="F28" s="15"/>
      <c r="G28" s="15">
        <f t="shared" si="4"/>
        <v>641</v>
      </c>
      <c r="H28" s="15"/>
      <c r="I28" s="15">
        <f t="shared" si="1"/>
        <v>0</v>
      </c>
      <c r="J28" s="15">
        <f t="shared" si="1"/>
        <v>0</v>
      </c>
      <c r="K28" s="15">
        <f t="shared" si="1"/>
        <v>640.6</v>
      </c>
      <c r="L28" s="15"/>
      <c r="M28" s="15">
        <v>0</v>
      </c>
      <c r="N28" s="15">
        <v>0</v>
      </c>
      <c r="O28" s="15">
        <v>640.6</v>
      </c>
      <c r="P28" s="15"/>
      <c r="Q28" s="15">
        <v>0</v>
      </c>
      <c r="R28" s="15">
        <v>0</v>
      </c>
      <c r="S28" s="15">
        <v>640.6</v>
      </c>
      <c r="T28" s="15"/>
      <c r="U28" s="15"/>
      <c r="V28" s="15"/>
      <c r="W28" s="15"/>
      <c r="X28" s="15"/>
      <c r="Y28" s="15"/>
      <c r="Z28" s="4"/>
      <c r="AA28" s="4"/>
    </row>
    <row r="29" spans="1:27" ht="14.25">
      <c r="A29" s="35">
        <f t="shared" si="0"/>
        <v>13</v>
      </c>
      <c r="B29" s="20" t="s">
        <v>137</v>
      </c>
      <c r="C29" s="15">
        <f t="shared" si="2"/>
        <v>0</v>
      </c>
      <c r="D29" s="15">
        <f t="shared" si="3"/>
        <v>0</v>
      </c>
      <c r="E29" s="15"/>
      <c r="F29" s="15"/>
      <c r="G29" s="15">
        <f t="shared" si="4"/>
        <v>0</v>
      </c>
      <c r="H29" s="15"/>
      <c r="I29" s="15">
        <f t="shared" si="1"/>
        <v>0</v>
      </c>
      <c r="J29" s="15">
        <f t="shared" si="1"/>
        <v>0</v>
      </c>
      <c r="K29" s="15">
        <f t="shared" si="1"/>
        <v>0</v>
      </c>
      <c r="L29" s="15"/>
      <c r="M29" s="15">
        <v>0</v>
      </c>
      <c r="N29" s="15">
        <v>0</v>
      </c>
      <c r="O29" s="15">
        <v>0</v>
      </c>
      <c r="P29" s="15"/>
      <c r="Q29" s="15">
        <v>0</v>
      </c>
      <c r="R29" s="15">
        <v>0</v>
      </c>
      <c r="S29" s="15">
        <v>0</v>
      </c>
      <c r="T29" s="15"/>
      <c r="U29" s="15"/>
      <c r="V29" s="15"/>
      <c r="W29" s="15"/>
      <c r="X29" s="15"/>
      <c r="Y29" s="15"/>
      <c r="Z29" s="4"/>
      <c r="AA29" s="4"/>
    </row>
    <row r="30" spans="1:27" ht="14.25">
      <c r="A30" s="35">
        <f t="shared" si="0"/>
        <v>14</v>
      </c>
      <c r="B30" s="20" t="s">
        <v>138</v>
      </c>
      <c r="C30" s="15">
        <f>SUM(M30:O30)</f>
        <v>4850928.6</v>
      </c>
      <c r="D30" s="15">
        <f>SUM(Q30:S30)</f>
        <v>-2959372.15</v>
      </c>
      <c r="E30" s="15"/>
      <c r="F30" s="15"/>
      <c r="G30" s="15">
        <f>ROUND(SUM(C30:F30)/2,0)</f>
        <v>945778</v>
      </c>
      <c r="H30" s="15"/>
      <c r="I30" s="15">
        <f t="shared" si="1"/>
        <v>945778.2249999999</v>
      </c>
      <c r="J30" s="15">
        <f t="shared" si="1"/>
        <v>0</v>
      </c>
      <c r="K30" s="15">
        <f t="shared" si="1"/>
        <v>0</v>
      </c>
      <c r="L30" s="15"/>
      <c r="M30" s="15">
        <v>4850928.6</v>
      </c>
      <c r="N30" s="15">
        <v>0</v>
      </c>
      <c r="O30" s="15">
        <v>0</v>
      </c>
      <c r="P30" s="15"/>
      <c r="Q30" s="15">
        <v>-2959372.15</v>
      </c>
      <c r="R30" s="15">
        <v>0</v>
      </c>
      <c r="S30" s="15">
        <v>0</v>
      </c>
      <c r="T30" s="15"/>
      <c r="U30" s="15"/>
      <c r="V30" s="15"/>
      <c r="W30" s="15"/>
      <c r="X30" s="15"/>
      <c r="Y30" s="15"/>
      <c r="Z30" s="4"/>
      <c r="AA30" s="4"/>
    </row>
    <row r="31" spans="1:27" ht="14.25">
      <c r="A31" s="35">
        <f t="shared" si="0"/>
        <v>15</v>
      </c>
      <c r="B31" s="20" t="s">
        <v>139</v>
      </c>
      <c r="C31" s="15">
        <f t="shared" si="2"/>
        <v>126202.76000000001</v>
      </c>
      <c r="D31" s="15">
        <f t="shared" si="3"/>
        <v>140161.09</v>
      </c>
      <c r="E31" s="15"/>
      <c r="F31" s="15"/>
      <c r="G31" s="15">
        <f t="shared" si="4"/>
        <v>133182</v>
      </c>
      <c r="H31" s="15"/>
      <c r="I31" s="15">
        <f t="shared" si="1"/>
        <v>87352.925</v>
      </c>
      <c r="J31" s="15">
        <f t="shared" si="1"/>
        <v>6470.415</v>
      </c>
      <c r="K31" s="15">
        <f t="shared" si="1"/>
        <v>39358.585</v>
      </c>
      <c r="L31" s="15"/>
      <c r="M31" s="15">
        <v>85262.82</v>
      </c>
      <c r="N31" s="15">
        <v>4801.15</v>
      </c>
      <c r="O31" s="15">
        <v>36138.79</v>
      </c>
      <c r="P31" s="15"/>
      <c r="Q31" s="15">
        <v>89443.03</v>
      </c>
      <c r="R31" s="15">
        <v>8139.68</v>
      </c>
      <c r="S31" s="15">
        <v>42578.38</v>
      </c>
      <c r="T31" s="15"/>
      <c r="U31" s="15"/>
      <c r="V31" s="15"/>
      <c r="W31" s="15"/>
      <c r="X31" s="15"/>
      <c r="Y31" s="15"/>
      <c r="Z31" s="4"/>
      <c r="AA31" s="4"/>
    </row>
    <row r="32" spans="1:27" ht="14.25">
      <c r="A32" s="35">
        <f t="shared" si="0"/>
        <v>16</v>
      </c>
      <c r="B32" s="20" t="s">
        <v>140</v>
      </c>
      <c r="C32" s="15">
        <f t="shared" si="2"/>
        <v>-101597.13</v>
      </c>
      <c r="D32" s="15">
        <f t="shared" si="3"/>
        <v>-108045.39</v>
      </c>
      <c r="E32" s="15"/>
      <c r="F32" s="15"/>
      <c r="G32" s="15">
        <f t="shared" si="4"/>
        <v>-104821</v>
      </c>
      <c r="H32" s="15"/>
      <c r="I32" s="15">
        <f t="shared" si="1"/>
        <v>190.29</v>
      </c>
      <c r="J32" s="15">
        <f t="shared" si="1"/>
        <v>0</v>
      </c>
      <c r="K32" s="15">
        <f t="shared" si="1"/>
        <v>-105011.55</v>
      </c>
      <c r="L32" s="15"/>
      <c r="M32" s="15">
        <v>191.51</v>
      </c>
      <c r="N32" s="15">
        <v>0</v>
      </c>
      <c r="O32" s="15">
        <v>-101788.64</v>
      </c>
      <c r="P32" s="15"/>
      <c r="Q32" s="15">
        <v>189.07</v>
      </c>
      <c r="R32" s="15">
        <v>0</v>
      </c>
      <c r="S32" s="15">
        <v>-108234.46</v>
      </c>
      <c r="T32" s="15"/>
      <c r="U32" s="15"/>
      <c r="V32" s="15"/>
      <c r="W32" s="15"/>
      <c r="X32" s="15"/>
      <c r="Y32" s="15"/>
      <c r="Z32" s="4"/>
      <c r="AA32" s="4"/>
    </row>
    <row r="33" spans="1:27" ht="14.25">
      <c r="A33" s="35">
        <f t="shared" si="0"/>
        <v>17</v>
      </c>
      <c r="B33" s="20" t="s">
        <v>141</v>
      </c>
      <c r="C33" s="15">
        <f>SUM(M33:O33)</f>
        <v>194948.25</v>
      </c>
      <c r="D33" s="15">
        <f>SUM(Q33:S33)</f>
        <v>76486.9</v>
      </c>
      <c r="E33" s="15"/>
      <c r="F33" s="15"/>
      <c r="G33" s="15">
        <f>ROUND(SUM(C33:F33)/2,0)</f>
        <v>135718</v>
      </c>
      <c r="H33" s="15"/>
      <c r="I33" s="15">
        <f t="shared" si="1"/>
        <v>105.35</v>
      </c>
      <c r="J33" s="15">
        <f t="shared" si="1"/>
        <v>0</v>
      </c>
      <c r="K33" s="15">
        <f t="shared" si="1"/>
        <v>135612.225</v>
      </c>
      <c r="L33" s="15"/>
      <c r="M33" s="15">
        <v>-155.75</v>
      </c>
      <c r="N33" s="15">
        <v>0</v>
      </c>
      <c r="O33" s="15">
        <v>195104</v>
      </c>
      <c r="P33" s="15"/>
      <c r="Q33" s="15">
        <v>366.45</v>
      </c>
      <c r="R33" s="15">
        <v>0</v>
      </c>
      <c r="S33" s="15">
        <v>76120.45</v>
      </c>
      <c r="T33" s="15"/>
      <c r="U33" s="15"/>
      <c r="V33" s="15"/>
      <c r="W33" s="15"/>
      <c r="X33" s="15"/>
      <c r="Y33" s="15"/>
      <c r="Z33" s="4"/>
      <c r="AA33" s="4"/>
    </row>
    <row r="34" spans="1:27" ht="14.25">
      <c r="A34" s="35">
        <f t="shared" si="0"/>
        <v>18</v>
      </c>
      <c r="B34" s="20" t="s">
        <v>142</v>
      </c>
      <c r="C34" s="15">
        <f>SUM(M34:O34)</f>
        <v>198807.4</v>
      </c>
      <c r="D34" s="15">
        <f>SUM(Q34:S34)</f>
        <v>186096.33000000002</v>
      </c>
      <c r="E34" s="15"/>
      <c r="F34" s="15"/>
      <c r="G34" s="15">
        <f>ROUND(SUM(C34:F34)/2,0)</f>
        <v>192452</v>
      </c>
      <c r="H34" s="15"/>
      <c r="I34" s="15">
        <f t="shared" si="1"/>
        <v>87722.38500000001</v>
      </c>
      <c r="J34" s="15">
        <f t="shared" si="1"/>
        <v>-0.175</v>
      </c>
      <c r="K34" s="15">
        <f t="shared" si="1"/>
        <v>104729.655</v>
      </c>
      <c r="L34" s="15"/>
      <c r="M34" s="15">
        <v>82980.45</v>
      </c>
      <c r="N34" s="15">
        <v>0</v>
      </c>
      <c r="O34" s="15">
        <v>115826.95</v>
      </c>
      <c r="P34" s="15"/>
      <c r="Q34" s="15">
        <v>92464.32</v>
      </c>
      <c r="R34" s="15">
        <v>-0.35</v>
      </c>
      <c r="S34" s="15">
        <v>93632.36</v>
      </c>
      <c r="T34" s="15"/>
      <c r="U34" s="15"/>
      <c r="V34" s="15"/>
      <c r="W34" s="15"/>
      <c r="X34" s="15"/>
      <c r="Y34" s="15"/>
      <c r="Z34" s="4"/>
      <c r="AA34" s="4"/>
    </row>
    <row r="35" spans="1:27" ht="14.25">
      <c r="A35" s="35">
        <f t="shared" si="0"/>
        <v>19</v>
      </c>
      <c r="B35" s="20" t="s">
        <v>143</v>
      </c>
      <c r="C35" s="15">
        <f>SUM(M35:O35)</f>
        <v>-0.02</v>
      </c>
      <c r="D35" s="15">
        <f>SUM(Q35:S35)</f>
        <v>-0.02</v>
      </c>
      <c r="E35" s="15"/>
      <c r="F35" s="15"/>
      <c r="G35" s="15">
        <f>ROUND(SUM(C35:F35)/2,0)</f>
        <v>0</v>
      </c>
      <c r="H35" s="15"/>
      <c r="I35" s="15">
        <f t="shared" si="1"/>
        <v>0</v>
      </c>
      <c r="J35" s="15">
        <f t="shared" si="1"/>
        <v>0</v>
      </c>
      <c r="K35" s="15">
        <f t="shared" si="1"/>
        <v>-0.02</v>
      </c>
      <c r="L35" s="15"/>
      <c r="M35" s="15">
        <v>0</v>
      </c>
      <c r="N35" s="15">
        <v>0</v>
      </c>
      <c r="O35" s="15">
        <v>-0.02</v>
      </c>
      <c r="P35" s="15"/>
      <c r="Q35" s="15">
        <v>0</v>
      </c>
      <c r="R35" s="15">
        <v>0</v>
      </c>
      <c r="S35" s="15">
        <v>-0.02</v>
      </c>
      <c r="T35" s="15"/>
      <c r="U35" s="15"/>
      <c r="V35" s="15"/>
      <c r="W35" s="15"/>
      <c r="X35" s="15"/>
      <c r="Y35" s="15"/>
      <c r="Z35" s="4"/>
      <c r="AA35" s="4"/>
    </row>
    <row r="36" spans="1:27" ht="14.25">
      <c r="A36" s="35">
        <f t="shared" si="0"/>
        <v>20</v>
      </c>
      <c r="B36" s="20" t="s">
        <v>144</v>
      </c>
      <c r="C36" s="15">
        <f>SUM(M36:O36)</f>
        <v>1923700.9200000002</v>
      </c>
      <c r="D36" s="15">
        <f>SUM(Q36:S36)</f>
        <v>226502.97999999998</v>
      </c>
      <c r="E36" s="15"/>
      <c r="F36" s="15"/>
      <c r="G36" s="15">
        <f>ROUND(SUM(C36:F36)/2,0)</f>
        <v>1075102</v>
      </c>
      <c r="H36" s="15"/>
      <c r="I36" s="15">
        <f t="shared" si="1"/>
        <v>83684.695</v>
      </c>
      <c r="J36" s="15">
        <f t="shared" si="1"/>
        <v>0</v>
      </c>
      <c r="K36" s="15">
        <f t="shared" si="1"/>
        <v>991417.255</v>
      </c>
      <c r="L36" s="15"/>
      <c r="M36" s="15">
        <v>93129.84</v>
      </c>
      <c r="N36" s="15">
        <v>0</v>
      </c>
      <c r="O36" s="15">
        <v>1830571.08</v>
      </c>
      <c r="P36" s="15"/>
      <c r="Q36" s="15">
        <v>74239.55</v>
      </c>
      <c r="R36" s="15">
        <v>0</v>
      </c>
      <c r="S36" s="15">
        <v>152263.43</v>
      </c>
      <c r="T36" s="15"/>
      <c r="U36" s="15"/>
      <c r="V36" s="15"/>
      <c r="W36" s="15"/>
      <c r="X36" s="15"/>
      <c r="Y36" s="15"/>
      <c r="Z36" s="4"/>
      <c r="AA36" s="4"/>
    </row>
    <row r="37" spans="1:27" ht="14.25">
      <c r="A37" s="35">
        <f t="shared" si="0"/>
        <v>21</v>
      </c>
      <c r="B37" s="20" t="s">
        <v>145</v>
      </c>
      <c r="C37" s="15">
        <f t="shared" si="2"/>
        <v>484792.19000000006</v>
      </c>
      <c r="D37" s="15">
        <f t="shared" si="3"/>
        <v>512489.67000000004</v>
      </c>
      <c r="E37" s="15"/>
      <c r="F37" s="15"/>
      <c r="G37" s="15">
        <f t="shared" si="4"/>
        <v>498641</v>
      </c>
      <c r="H37" s="15"/>
      <c r="I37" s="15">
        <f t="shared" si="1"/>
        <v>-342671.35</v>
      </c>
      <c r="J37" s="15">
        <f t="shared" si="1"/>
        <v>388.49</v>
      </c>
      <c r="K37" s="15">
        <f t="shared" si="1"/>
        <v>840923.79</v>
      </c>
      <c r="L37" s="15"/>
      <c r="M37" s="15">
        <v>-342671.35</v>
      </c>
      <c r="N37" s="15">
        <v>776.99</v>
      </c>
      <c r="O37" s="15">
        <v>826686.55</v>
      </c>
      <c r="P37" s="15"/>
      <c r="Q37" s="15">
        <v>-342671.35</v>
      </c>
      <c r="R37" s="15">
        <v>-0.01</v>
      </c>
      <c r="S37" s="15">
        <v>855161.03</v>
      </c>
      <c r="T37" s="15"/>
      <c r="U37" s="15"/>
      <c r="V37" s="15"/>
      <c r="W37" s="15"/>
      <c r="X37" s="15"/>
      <c r="Y37" s="15"/>
      <c r="Z37" s="4"/>
      <c r="AA37" s="4"/>
    </row>
    <row r="38" spans="1:27" ht="14.25">
      <c r="A38" s="35">
        <f t="shared" si="0"/>
        <v>22</v>
      </c>
      <c r="B38" s="20" t="s">
        <v>146</v>
      </c>
      <c r="C38" s="15">
        <f t="shared" si="2"/>
        <v>40535.6</v>
      </c>
      <c r="D38" s="15">
        <f t="shared" si="3"/>
        <v>187266.8</v>
      </c>
      <c r="E38" s="15"/>
      <c r="F38" s="15"/>
      <c r="G38" s="15">
        <f t="shared" si="4"/>
        <v>113901</v>
      </c>
      <c r="H38" s="15"/>
      <c r="I38" s="15">
        <f t="shared" si="1"/>
        <v>113901.2</v>
      </c>
      <c r="J38" s="15">
        <f t="shared" si="1"/>
        <v>0</v>
      </c>
      <c r="K38" s="15">
        <f t="shared" si="1"/>
        <v>0</v>
      </c>
      <c r="L38" s="15"/>
      <c r="M38" s="15">
        <v>40535.6</v>
      </c>
      <c r="N38" s="15">
        <v>0</v>
      </c>
      <c r="O38" s="15">
        <v>0</v>
      </c>
      <c r="P38" s="15"/>
      <c r="Q38" s="15">
        <v>187266.8</v>
      </c>
      <c r="R38" s="15">
        <v>0</v>
      </c>
      <c r="S38" s="15">
        <v>0</v>
      </c>
      <c r="T38" s="15"/>
      <c r="U38" s="15"/>
      <c r="V38" s="15"/>
      <c r="W38" s="15"/>
      <c r="X38" s="15"/>
      <c r="Y38" s="15"/>
      <c r="Z38" s="4"/>
      <c r="AA38" s="4"/>
    </row>
    <row r="39" spans="1:27" ht="14.25">
      <c r="A39" s="35">
        <f t="shared" si="0"/>
        <v>23</v>
      </c>
      <c r="B39" s="20" t="s">
        <v>147</v>
      </c>
      <c r="C39" s="15">
        <f>SUM(M39:O39)</f>
        <v>-6869.8</v>
      </c>
      <c r="D39" s="15">
        <f>SUM(Q39:S39)</f>
        <v>-26030.55</v>
      </c>
      <c r="E39" s="15"/>
      <c r="F39" s="15"/>
      <c r="G39" s="15">
        <f>ROUND(SUM(C39:F39)/2,0)</f>
        <v>-16450</v>
      </c>
      <c r="H39" s="15"/>
      <c r="I39" s="15">
        <f t="shared" si="1"/>
        <v>-16450.175</v>
      </c>
      <c r="J39" s="15">
        <f t="shared" si="1"/>
        <v>0</v>
      </c>
      <c r="K39" s="15">
        <f t="shared" si="1"/>
        <v>0</v>
      </c>
      <c r="L39" s="15"/>
      <c r="M39" s="15">
        <v>-6869.8</v>
      </c>
      <c r="N39" s="15">
        <v>0</v>
      </c>
      <c r="O39" s="15">
        <v>0</v>
      </c>
      <c r="P39" s="15"/>
      <c r="Q39" s="15">
        <v>-26030.55</v>
      </c>
      <c r="R39" s="15">
        <v>0</v>
      </c>
      <c r="S39" s="15">
        <v>0</v>
      </c>
      <c r="T39" s="15"/>
      <c r="U39" s="15"/>
      <c r="V39" s="15"/>
      <c r="W39" s="15"/>
      <c r="X39" s="15"/>
      <c r="Y39" s="15"/>
      <c r="Z39" s="4"/>
      <c r="AA39" s="4"/>
    </row>
    <row r="40" spans="1:27" ht="14.25">
      <c r="A40" s="35">
        <f t="shared" si="0"/>
        <v>24</v>
      </c>
      <c r="B40" s="36" t="s">
        <v>540</v>
      </c>
      <c r="C40" s="15">
        <f>SUM(M40:O40)</f>
        <v>0</v>
      </c>
      <c r="D40" s="15">
        <f>SUM(Q40:S40)</f>
        <v>788712.61</v>
      </c>
      <c r="E40" s="15"/>
      <c r="F40" s="15"/>
      <c r="G40" s="15">
        <f>ROUND(SUM(C40:F40)/2,0)</f>
        <v>394356</v>
      </c>
      <c r="H40" s="15"/>
      <c r="I40" s="15">
        <f>(+M40+Q40)/2</f>
        <v>175312.375</v>
      </c>
      <c r="J40" s="15">
        <f>(+N40+R40)/2</f>
        <v>23220.225</v>
      </c>
      <c r="K40" s="15">
        <f>(+O40+S40)/2</f>
        <v>195823.705</v>
      </c>
      <c r="L40" s="15"/>
      <c r="M40" s="15">
        <v>0</v>
      </c>
      <c r="N40" s="15">
        <v>0</v>
      </c>
      <c r="O40" s="15">
        <v>0</v>
      </c>
      <c r="P40" s="15"/>
      <c r="Q40" s="15">
        <v>350624.75</v>
      </c>
      <c r="R40" s="15">
        <v>46440.45</v>
      </c>
      <c r="S40" s="15">
        <v>391647.41</v>
      </c>
      <c r="T40" s="15"/>
      <c r="U40" s="15"/>
      <c r="V40" s="15"/>
      <c r="W40" s="15"/>
      <c r="X40" s="15"/>
      <c r="Y40" s="15"/>
      <c r="Z40" s="4"/>
      <c r="AA40" s="4"/>
    </row>
    <row r="41" spans="1:27" ht="14.25">
      <c r="A41" s="35">
        <f t="shared" si="0"/>
        <v>25</v>
      </c>
      <c r="B41" s="20" t="s">
        <v>148</v>
      </c>
      <c r="C41" s="15">
        <f t="shared" si="2"/>
        <v>5383806.61</v>
      </c>
      <c r="D41" s="15">
        <f t="shared" si="3"/>
        <v>4462792.61</v>
      </c>
      <c r="E41" s="15"/>
      <c r="F41" s="15"/>
      <c r="G41" s="15">
        <f t="shared" si="4"/>
        <v>4923300</v>
      </c>
      <c r="H41" s="15"/>
      <c r="I41" s="15">
        <f t="shared" si="1"/>
        <v>2638668.935</v>
      </c>
      <c r="J41" s="15">
        <f t="shared" si="1"/>
        <v>106065.22</v>
      </c>
      <c r="K41" s="15">
        <f t="shared" si="1"/>
        <v>2178565.455</v>
      </c>
      <c r="L41" s="15"/>
      <c r="M41" s="15">
        <v>2678061.89</v>
      </c>
      <c r="N41" s="15">
        <v>-14808.26</v>
      </c>
      <c r="O41" s="15">
        <v>2720552.98</v>
      </c>
      <c r="P41" s="15"/>
      <c r="Q41" s="15">
        <v>2599275.98</v>
      </c>
      <c r="R41" s="15">
        <v>226938.7</v>
      </c>
      <c r="S41" s="15">
        <v>1636577.93</v>
      </c>
      <c r="T41" s="15"/>
      <c r="U41" s="15"/>
      <c r="V41" s="15"/>
      <c r="W41" s="15"/>
      <c r="X41" s="15"/>
      <c r="Y41" s="15"/>
      <c r="Z41" s="4"/>
      <c r="AA41" s="4"/>
    </row>
    <row r="42" spans="1:27" ht="14.25">
      <c r="A42" s="35">
        <f t="shared" si="0"/>
        <v>26</v>
      </c>
      <c r="B42" s="20" t="s">
        <v>149</v>
      </c>
      <c r="C42" s="15">
        <f t="shared" si="2"/>
        <v>4200</v>
      </c>
      <c r="D42" s="15">
        <f t="shared" si="3"/>
        <v>756700</v>
      </c>
      <c r="E42" s="15"/>
      <c r="F42" s="15"/>
      <c r="G42" s="15">
        <f t="shared" si="4"/>
        <v>380450</v>
      </c>
      <c r="H42" s="15"/>
      <c r="I42" s="15">
        <f t="shared" si="1"/>
        <v>0</v>
      </c>
      <c r="J42" s="15">
        <f t="shared" si="1"/>
        <v>0</v>
      </c>
      <c r="K42" s="15">
        <f t="shared" si="1"/>
        <v>380450</v>
      </c>
      <c r="L42" s="15"/>
      <c r="M42" s="15">
        <v>0</v>
      </c>
      <c r="N42" s="15">
        <v>0</v>
      </c>
      <c r="O42" s="15">
        <v>4200</v>
      </c>
      <c r="P42" s="15"/>
      <c r="Q42" s="15">
        <v>0</v>
      </c>
      <c r="R42" s="15">
        <v>0</v>
      </c>
      <c r="S42" s="15">
        <v>756700</v>
      </c>
      <c r="T42" s="15"/>
      <c r="U42" s="15"/>
      <c r="V42" s="15"/>
      <c r="W42" s="15"/>
      <c r="X42" s="15"/>
      <c r="Y42" s="15"/>
      <c r="Z42" s="4"/>
      <c r="AA42" s="4"/>
    </row>
    <row r="43" spans="1:27" ht="14.25">
      <c r="A43" s="35">
        <f t="shared" si="0"/>
        <v>27</v>
      </c>
      <c r="B43" s="20" t="s">
        <v>150</v>
      </c>
      <c r="C43" s="15">
        <f>SUM(M43:O43)</f>
        <v>3096185.8899999997</v>
      </c>
      <c r="D43" s="15">
        <f>SUM(Q43:S43)</f>
        <v>3330428.8499999996</v>
      </c>
      <c r="E43" s="15"/>
      <c r="F43" s="15"/>
      <c r="G43" s="15">
        <f>ROUND(SUM(C43:F43)/2,0)</f>
        <v>3213307</v>
      </c>
      <c r="H43" s="15"/>
      <c r="I43" s="15">
        <f t="shared" si="1"/>
        <v>1369118.5099999998</v>
      </c>
      <c r="J43" s="15">
        <f t="shared" si="1"/>
        <v>75354.27</v>
      </c>
      <c r="K43" s="15">
        <f t="shared" si="1"/>
        <v>1768834.5899999999</v>
      </c>
      <c r="L43" s="15"/>
      <c r="M43" s="15">
        <v>1322478.63</v>
      </c>
      <c r="N43" s="15">
        <v>-26075.94</v>
      </c>
      <c r="O43" s="15">
        <v>1799783.2</v>
      </c>
      <c r="P43" s="15"/>
      <c r="Q43" s="15">
        <v>1415758.39</v>
      </c>
      <c r="R43" s="15">
        <v>176784.48</v>
      </c>
      <c r="S43" s="15">
        <v>1737885.98</v>
      </c>
      <c r="T43" s="15"/>
      <c r="U43" s="15"/>
      <c r="V43" s="15"/>
      <c r="W43" s="15"/>
      <c r="X43" s="15"/>
      <c r="Y43" s="15"/>
      <c r="Z43" s="4"/>
      <c r="AA43" s="4"/>
    </row>
    <row r="44" spans="1:27" ht="14.25">
      <c r="A44" s="35">
        <f t="shared" si="0"/>
        <v>28</v>
      </c>
      <c r="B44" s="20" t="s">
        <v>576</v>
      </c>
      <c r="C44" s="15">
        <f t="shared" si="2"/>
        <v>428159.13</v>
      </c>
      <c r="D44" s="15">
        <f t="shared" si="3"/>
        <v>365758.05</v>
      </c>
      <c r="E44" s="15"/>
      <c r="F44" s="15"/>
      <c r="G44" s="15">
        <f t="shared" si="4"/>
        <v>396959</v>
      </c>
      <c r="H44" s="15"/>
      <c r="I44" s="15">
        <f t="shared" si="1"/>
        <v>13440.035</v>
      </c>
      <c r="J44" s="15">
        <f t="shared" si="1"/>
        <v>0</v>
      </c>
      <c r="K44" s="15">
        <f t="shared" si="1"/>
        <v>383518.555</v>
      </c>
      <c r="L44" s="15"/>
      <c r="M44" s="15">
        <v>13901.84</v>
      </c>
      <c r="N44" s="15">
        <v>0</v>
      </c>
      <c r="O44" s="15">
        <v>414257.29</v>
      </c>
      <c r="P44" s="15"/>
      <c r="Q44" s="15">
        <v>12978.23</v>
      </c>
      <c r="R44" s="15">
        <v>0</v>
      </c>
      <c r="S44" s="15">
        <v>352779.82</v>
      </c>
      <c r="T44" s="15"/>
      <c r="U44" s="15"/>
      <c r="V44" s="15"/>
      <c r="W44" s="15"/>
      <c r="X44" s="15"/>
      <c r="Y44" s="15"/>
      <c r="Z44" s="4"/>
      <c r="AA44" s="4"/>
    </row>
    <row r="45" spans="1:27" ht="14.25">
      <c r="A45" s="35">
        <f t="shared" si="0"/>
        <v>29</v>
      </c>
      <c r="B45" s="20" t="s">
        <v>152</v>
      </c>
      <c r="C45" s="15">
        <f t="shared" si="2"/>
        <v>3256418.57</v>
      </c>
      <c r="D45" s="15">
        <f t="shared" si="3"/>
        <v>7699.99</v>
      </c>
      <c r="E45" s="15"/>
      <c r="F45" s="15"/>
      <c r="G45" s="15">
        <f t="shared" si="4"/>
        <v>1632059</v>
      </c>
      <c r="H45" s="15"/>
      <c r="I45" s="15">
        <f t="shared" si="1"/>
        <v>1628594.285</v>
      </c>
      <c r="J45" s="15">
        <f t="shared" si="1"/>
        <v>0</v>
      </c>
      <c r="K45" s="15">
        <f t="shared" si="1"/>
        <v>3464.995</v>
      </c>
      <c r="L45" s="15"/>
      <c r="M45" s="15">
        <v>3256418.57</v>
      </c>
      <c r="N45" s="15">
        <v>0</v>
      </c>
      <c r="O45" s="15">
        <v>0</v>
      </c>
      <c r="P45" s="15"/>
      <c r="Q45" s="15">
        <v>770</v>
      </c>
      <c r="R45" s="15">
        <v>0</v>
      </c>
      <c r="S45" s="15">
        <v>6929.99</v>
      </c>
      <c r="T45" s="15"/>
      <c r="U45" s="15"/>
      <c r="V45" s="15"/>
      <c r="W45" s="15"/>
      <c r="X45" s="15"/>
      <c r="Y45" s="15"/>
      <c r="Z45" s="4"/>
      <c r="AA45" s="4"/>
    </row>
    <row r="46" spans="1:27" ht="14.25">
      <c r="A46" s="35">
        <f t="shared" si="0"/>
        <v>30</v>
      </c>
      <c r="B46" s="20" t="s">
        <v>153</v>
      </c>
      <c r="C46" s="15">
        <f t="shared" si="2"/>
        <v>-0.5999999999992724</v>
      </c>
      <c r="D46" s="15">
        <f t="shared" si="3"/>
        <v>-0.5999999999985448</v>
      </c>
      <c r="E46" s="15"/>
      <c r="F46" s="15"/>
      <c r="G46" s="15">
        <f t="shared" si="4"/>
        <v>-1</v>
      </c>
      <c r="H46" s="15"/>
      <c r="I46" s="15">
        <f t="shared" si="1"/>
        <v>-0.2999999999996362</v>
      </c>
      <c r="J46" s="15">
        <f t="shared" si="1"/>
        <v>-0.049999999999272404</v>
      </c>
      <c r="K46" s="15">
        <f t="shared" si="1"/>
        <v>-0.25</v>
      </c>
      <c r="L46" s="15"/>
      <c r="M46" s="15">
        <v>-0.3</v>
      </c>
      <c r="N46" s="15">
        <f>-12552.05+12552</f>
        <v>-0.049999999999272404</v>
      </c>
      <c r="O46" s="15">
        <f>-18828.25+18828</f>
        <v>-0.25</v>
      </c>
      <c r="P46" s="15"/>
      <c r="Q46" s="15">
        <f>-31380.3+31380</f>
        <v>-0.2999999999992724</v>
      </c>
      <c r="R46" s="15">
        <f>-12552.05+12552</f>
        <v>-0.049999999999272404</v>
      </c>
      <c r="S46" s="15">
        <f>-18828.25+18828</f>
        <v>-0.25</v>
      </c>
      <c r="T46" s="15"/>
      <c r="U46" s="15"/>
      <c r="V46" s="15"/>
      <c r="W46" s="15"/>
      <c r="X46" s="15"/>
      <c r="Y46" s="15"/>
      <c r="Z46" s="4"/>
      <c r="AA46" s="4"/>
    </row>
    <row r="47" spans="1:27" ht="14.25">
      <c r="A47" s="35">
        <f t="shared" si="0"/>
        <v>31</v>
      </c>
      <c r="B47" s="20" t="s">
        <v>154</v>
      </c>
      <c r="C47" s="15">
        <f>SUM(M47:O47)</f>
        <v>-606976.75</v>
      </c>
      <c r="D47" s="15">
        <f>SUM(Q47:S47)</f>
        <v>-552519.9</v>
      </c>
      <c r="E47" s="15"/>
      <c r="F47" s="15"/>
      <c r="G47" s="15">
        <f>ROUND(SUM(C47:F47)/2,0)</f>
        <v>-579748</v>
      </c>
      <c r="H47" s="15"/>
      <c r="I47" s="15">
        <f t="shared" si="1"/>
        <v>-600609.3999999999</v>
      </c>
      <c r="J47" s="15">
        <f t="shared" si="1"/>
        <v>1927.2250000000058</v>
      </c>
      <c r="K47" s="15">
        <f t="shared" si="1"/>
        <v>18933.850000000006</v>
      </c>
      <c r="L47" s="15"/>
      <c r="M47" s="15">
        <f>-1025218.6+415953</f>
        <v>-609265.6</v>
      </c>
      <c r="N47" s="15">
        <f>-164806.25+166370</f>
        <v>1563.75</v>
      </c>
      <c r="O47" s="15">
        <f>-252956.9+253682</f>
        <v>725.1000000000058</v>
      </c>
      <c r="P47" s="15"/>
      <c r="Q47" s="15">
        <f>-1007906.2+415953</f>
        <v>-591953.2</v>
      </c>
      <c r="R47" s="15">
        <f>-164079.3+166370</f>
        <v>2290.7000000000116</v>
      </c>
      <c r="S47" s="15">
        <f>-216539.4+253682</f>
        <v>37142.600000000006</v>
      </c>
      <c r="T47" s="15"/>
      <c r="U47" s="15"/>
      <c r="V47" s="15"/>
      <c r="W47" s="15"/>
      <c r="X47" s="15"/>
      <c r="Y47" s="15"/>
      <c r="Z47" s="4"/>
      <c r="AA47" s="4"/>
    </row>
    <row r="48" spans="1:27" ht="14.25">
      <c r="A48" s="35">
        <f t="shared" si="0"/>
        <v>32</v>
      </c>
      <c r="B48" s="20" t="s">
        <v>155</v>
      </c>
      <c r="C48" s="15">
        <f>SUM(M48:O48)</f>
        <v>-0.5</v>
      </c>
      <c r="D48" s="15">
        <f>SUM(Q48:S48)</f>
        <v>972.8500000000058</v>
      </c>
      <c r="E48" s="15"/>
      <c r="F48" s="15"/>
      <c r="G48" s="15">
        <f>ROUND(SUM(C48:F48)/2,0)</f>
        <v>486</v>
      </c>
      <c r="H48" s="15"/>
      <c r="I48" s="15">
        <f t="shared" si="1"/>
        <v>189.25</v>
      </c>
      <c r="J48" s="15">
        <f t="shared" si="1"/>
        <v>81.92500000000291</v>
      </c>
      <c r="K48" s="15">
        <f t="shared" si="1"/>
        <v>215</v>
      </c>
      <c r="L48" s="15"/>
      <c r="M48" s="15">
        <f>-591928.75+591929</f>
        <v>0.25</v>
      </c>
      <c r="N48" s="15">
        <f>-236771.5+236771</f>
        <v>-0.5</v>
      </c>
      <c r="O48" s="15">
        <f>-355157.25+355157</f>
        <v>-0.25</v>
      </c>
      <c r="P48" s="15"/>
      <c r="Q48" s="15">
        <f>-591550.75+591929</f>
        <v>378.25</v>
      </c>
      <c r="R48" s="15">
        <f>-236606.65+236771</f>
        <v>164.35000000000582</v>
      </c>
      <c r="S48" s="15">
        <f>-354726.75+355157</f>
        <v>430.25</v>
      </c>
      <c r="T48" s="15"/>
      <c r="U48" s="15"/>
      <c r="V48" s="15"/>
      <c r="W48" s="15"/>
      <c r="X48" s="15"/>
      <c r="Y48" s="15"/>
      <c r="Z48" s="4"/>
      <c r="AA48" s="4"/>
    </row>
    <row r="49" spans="1:27" ht="14.25">
      <c r="A49" s="35">
        <f t="shared" si="0"/>
        <v>33</v>
      </c>
      <c r="B49" s="20" t="s">
        <v>156</v>
      </c>
      <c r="C49" s="15">
        <f t="shared" si="2"/>
        <v>49457.09999999998</v>
      </c>
      <c r="D49" s="15">
        <f t="shared" si="3"/>
        <v>49457.09999999998</v>
      </c>
      <c r="E49" s="15"/>
      <c r="F49" s="15"/>
      <c r="G49" s="15">
        <f t="shared" si="4"/>
        <v>49457</v>
      </c>
      <c r="H49" s="15"/>
      <c r="I49" s="15">
        <f t="shared" si="1"/>
        <v>0</v>
      </c>
      <c r="J49" s="15">
        <f t="shared" si="1"/>
        <v>-240348.5</v>
      </c>
      <c r="K49" s="15">
        <f t="shared" si="1"/>
        <v>289805.6</v>
      </c>
      <c r="L49" s="15"/>
      <c r="M49" s="15">
        <v>0</v>
      </c>
      <c r="N49" s="15">
        <v>-240348.5</v>
      </c>
      <c r="O49" s="15">
        <v>289805.6</v>
      </c>
      <c r="P49" s="15"/>
      <c r="Q49" s="15">
        <v>0</v>
      </c>
      <c r="R49" s="15">
        <v>-240348.5</v>
      </c>
      <c r="S49" s="15">
        <v>289805.6</v>
      </c>
      <c r="T49" s="15"/>
      <c r="U49" s="15"/>
      <c r="V49" s="15"/>
      <c r="W49" s="15"/>
      <c r="X49" s="15"/>
      <c r="Y49" s="15"/>
      <c r="Z49" s="4"/>
      <c r="AA49" s="4"/>
    </row>
    <row r="50" spans="1:27" ht="14.25">
      <c r="A50" s="35">
        <f t="shared" si="0"/>
        <v>34</v>
      </c>
      <c r="B50" s="20" t="s">
        <v>157</v>
      </c>
      <c r="C50" s="15">
        <f t="shared" si="2"/>
        <v>-177579.36</v>
      </c>
      <c r="D50" s="15">
        <f t="shared" si="3"/>
        <v>-177579.36</v>
      </c>
      <c r="E50" s="15"/>
      <c r="F50" s="15"/>
      <c r="G50" s="15">
        <f t="shared" si="4"/>
        <v>-177579</v>
      </c>
      <c r="H50" s="15"/>
      <c r="I50" s="15">
        <f t="shared" si="1"/>
        <v>-177579.36</v>
      </c>
      <c r="J50" s="15">
        <f t="shared" si="1"/>
        <v>0</v>
      </c>
      <c r="K50" s="15">
        <f t="shared" si="1"/>
        <v>0</v>
      </c>
      <c r="L50" s="15"/>
      <c r="M50" s="15">
        <v>-177579.36</v>
      </c>
      <c r="N50" s="15">
        <v>0</v>
      </c>
      <c r="O50" s="15">
        <v>0</v>
      </c>
      <c r="P50" s="15"/>
      <c r="Q50" s="15">
        <v>-177579.36</v>
      </c>
      <c r="R50" s="15">
        <v>0</v>
      </c>
      <c r="S50" s="15">
        <v>0</v>
      </c>
      <c r="T50" s="15"/>
      <c r="U50" s="15"/>
      <c r="V50" s="15"/>
      <c r="W50" s="15"/>
      <c r="X50" s="15"/>
      <c r="Y50" s="15"/>
      <c r="Z50" s="4"/>
      <c r="AA50" s="4"/>
    </row>
    <row r="51" spans="1:27" ht="14.25">
      <c r="A51" s="35">
        <f t="shared" si="0"/>
        <v>35</v>
      </c>
      <c r="B51" s="20" t="s">
        <v>158</v>
      </c>
      <c r="C51" s="15">
        <f t="shared" si="2"/>
        <v>-0.01</v>
      </c>
      <c r="D51" s="15">
        <f t="shared" si="3"/>
        <v>2.08</v>
      </c>
      <c r="E51" s="15"/>
      <c r="F51" s="15"/>
      <c r="G51" s="15">
        <f t="shared" si="4"/>
        <v>1</v>
      </c>
      <c r="H51" s="15"/>
      <c r="I51" s="15">
        <f t="shared" si="1"/>
        <v>-0.01</v>
      </c>
      <c r="J51" s="15">
        <f t="shared" si="1"/>
        <v>1.045</v>
      </c>
      <c r="K51" s="15">
        <f t="shared" si="1"/>
        <v>0</v>
      </c>
      <c r="L51" s="15"/>
      <c r="M51" s="15">
        <v>-0.01</v>
      </c>
      <c r="N51" s="15">
        <v>0</v>
      </c>
      <c r="O51" s="15">
        <v>0</v>
      </c>
      <c r="P51" s="15"/>
      <c r="Q51" s="15">
        <v>-0.01</v>
      </c>
      <c r="R51" s="15">
        <v>2.09</v>
      </c>
      <c r="S51" s="15">
        <v>0</v>
      </c>
      <c r="T51" s="15"/>
      <c r="U51" s="15"/>
      <c r="V51" s="15"/>
      <c r="W51" s="15"/>
      <c r="X51" s="15"/>
      <c r="Y51" s="15"/>
      <c r="Z51" s="4"/>
      <c r="AA51" s="4"/>
    </row>
    <row r="52" spans="1:27" ht="14.25">
      <c r="A52" s="35">
        <f t="shared" si="0"/>
        <v>36</v>
      </c>
      <c r="B52" s="36" t="s">
        <v>541</v>
      </c>
      <c r="C52" s="15">
        <f t="shared" si="2"/>
        <v>182467</v>
      </c>
      <c r="D52" s="15">
        <f t="shared" si="3"/>
        <v>182467</v>
      </c>
      <c r="E52" s="15"/>
      <c r="F52" s="15"/>
      <c r="G52" s="15">
        <f t="shared" si="4"/>
        <v>182467</v>
      </c>
      <c r="H52" s="15"/>
      <c r="I52" s="15">
        <f>(+M52+Q52)/2</f>
        <v>182467</v>
      </c>
      <c r="J52" s="15">
        <f>(+N52+R52)/2</f>
        <v>0</v>
      </c>
      <c r="K52" s="15">
        <f>(+O52+S52)/2</f>
        <v>0</v>
      </c>
      <c r="L52" s="15"/>
      <c r="M52" s="15">
        <v>182467</v>
      </c>
      <c r="N52" s="15">
        <v>0</v>
      </c>
      <c r="O52" s="15">
        <v>0</v>
      </c>
      <c r="P52" s="15"/>
      <c r="Q52" s="15">
        <v>182467</v>
      </c>
      <c r="R52" s="15">
        <v>0</v>
      </c>
      <c r="S52" s="15">
        <v>0</v>
      </c>
      <c r="T52" s="15"/>
      <c r="U52" s="15"/>
      <c r="V52" s="15"/>
      <c r="W52" s="15"/>
      <c r="X52" s="15"/>
      <c r="Y52" s="15"/>
      <c r="Z52" s="4"/>
      <c r="AA52" s="4"/>
    </row>
    <row r="53" spans="1:27" ht="14.25">
      <c r="A53" s="35">
        <f t="shared" si="0"/>
        <v>37</v>
      </c>
      <c r="B53" s="20" t="s">
        <v>159</v>
      </c>
      <c r="C53" s="15">
        <f t="shared" si="2"/>
        <v>0</v>
      </c>
      <c r="D53" s="15">
        <f t="shared" si="3"/>
        <v>0</v>
      </c>
      <c r="E53" s="15"/>
      <c r="F53" s="15"/>
      <c r="G53" s="15">
        <f t="shared" si="4"/>
        <v>0</v>
      </c>
      <c r="H53" s="15"/>
      <c r="I53" s="15">
        <f t="shared" si="1"/>
        <v>0</v>
      </c>
      <c r="J53" s="15">
        <f t="shared" si="1"/>
        <v>0</v>
      </c>
      <c r="K53" s="15">
        <f t="shared" si="1"/>
        <v>0</v>
      </c>
      <c r="L53" s="15"/>
      <c r="M53" s="15">
        <v>0</v>
      </c>
      <c r="N53" s="15">
        <v>0</v>
      </c>
      <c r="O53" s="15">
        <v>0</v>
      </c>
      <c r="P53" s="15"/>
      <c r="Q53" s="15">
        <v>0</v>
      </c>
      <c r="R53" s="15">
        <v>0</v>
      </c>
      <c r="S53" s="15">
        <v>0</v>
      </c>
      <c r="T53" s="15"/>
      <c r="U53" s="15"/>
      <c r="V53" s="15"/>
      <c r="W53" s="15"/>
      <c r="X53" s="15"/>
      <c r="Y53" s="15"/>
      <c r="Z53" s="4"/>
      <c r="AA53" s="4"/>
    </row>
    <row r="54" spans="1:27" ht="14.25">
      <c r="A54" s="35">
        <f t="shared" si="0"/>
        <v>38</v>
      </c>
      <c r="B54" s="20" t="s">
        <v>160</v>
      </c>
      <c r="C54" s="15">
        <f t="shared" si="2"/>
        <v>2141898.06</v>
      </c>
      <c r="D54" s="15">
        <f t="shared" si="3"/>
        <v>2141898.06</v>
      </c>
      <c r="E54" s="15"/>
      <c r="F54" s="15"/>
      <c r="G54" s="15">
        <f t="shared" si="4"/>
        <v>2141898</v>
      </c>
      <c r="H54" s="15"/>
      <c r="I54" s="15">
        <f t="shared" si="1"/>
        <v>2141898.06</v>
      </c>
      <c r="J54" s="15">
        <f t="shared" si="1"/>
        <v>0</v>
      </c>
      <c r="K54" s="15">
        <f t="shared" si="1"/>
        <v>0</v>
      </c>
      <c r="L54" s="15"/>
      <c r="M54" s="15">
        <v>2141898.06</v>
      </c>
      <c r="N54" s="15">
        <v>0</v>
      </c>
      <c r="O54" s="15">
        <v>0</v>
      </c>
      <c r="P54" s="15"/>
      <c r="Q54" s="15">
        <f>1934451.06+207447</f>
        <v>2141898.06</v>
      </c>
      <c r="R54" s="15">
        <v>0</v>
      </c>
      <c r="S54" s="15">
        <v>0</v>
      </c>
      <c r="T54" s="15"/>
      <c r="U54" s="15"/>
      <c r="V54" s="15"/>
      <c r="W54" s="15"/>
      <c r="X54" s="15"/>
      <c r="Y54" s="15"/>
      <c r="Z54" s="4"/>
      <c r="AA54" s="4"/>
    </row>
    <row r="55" spans="1:27" ht="14.25">
      <c r="A55" s="35">
        <f t="shared" si="0"/>
        <v>39</v>
      </c>
      <c r="B55" s="20" t="s">
        <v>161</v>
      </c>
      <c r="C55" s="15">
        <f t="shared" si="2"/>
        <v>212410.81</v>
      </c>
      <c r="D55" s="15">
        <f t="shared" si="3"/>
        <v>359054.83</v>
      </c>
      <c r="E55" s="15"/>
      <c r="F55" s="15"/>
      <c r="G55" s="15">
        <f t="shared" si="4"/>
        <v>285733</v>
      </c>
      <c r="H55" s="15"/>
      <c r="I55" s="15">
        <f t="shared" si="1"/>
        <v>285732.82</v>
      </c>
      <c r="J55" s="15">
        <f t="shared" si="1"/>
        <v>0</v>
      </c>
      <c r="K55" s="15">
        <f t="shared" si="1"/>
        <v>0</v>
      </c>
      <c r="L55" s="15"/>
      <c r="M55" s="15">
        <v>212410.81</v>
      </c>
      <c r="N55" s="15">
        <v>0</v>
      </c>
      <c r="O55" s="15">
        <v>0</v>
      </c>
      <c r="P55" s="15"/>
      <c r="Q55" s="15">
        <f>324279.83+34775</f>
        <v>359054.83</v>
      </c>
      <c r="R55" s="15">
        <v>0</v>
      </c>
      <c r="S55" s="15">
        <v>0</v>
      </c>
      <c r="T55" s="15"/>
      <c r="U55" s="15"/>
      <c r="V55" s="15"/>
      <c r="W55" s="15"/>
      <c r="X55" s="15"/>
      <c r="Y55" s="15"/>
      <c r="Z55" s="4"/>
      <c r="AA55" s="4"/>
    </row>
    <row r="56" spans="1:27" ht="14.25">
      <c r="A56" s="35">
        <f t="shared" si="0"/>
        <v>40</v>
      </c>
      <c r="B56" s="20" t="s">
        <v>162</v>
      </c>
      <c r="C56" s="15">
        <f t="shared" si="2"/>
        <v>0</v>
      </c>
      <c r="D56" s="15">
        <f t="shared" si="3"/>
        <v>0</v>
      </c>
      <c r="E56" s="15"/>
      <c r="F56" s="15"/>
      <c r="G56" s="15">
        <f t="shared" si="4"/>
        <v>0</v>
      </c>
      <c r="H56" s="15"/>
      <c r="I56" s="15">
        <f t="shared" si="1"/>
        <v>0</v>
      </c>
      <c r="J56" s="15">
        <f t="shared" si="1"/>
        <v>0</v>
      </c>
      <c r="K56" s="15">
        <f t="shared" si="1"/>
        <v>0</v>
      </c>
      <c r="L56" s="15"/>
      <c r="M56" s="15">
        <v>0</v>
      </c>
      <c r="N56" s="15">
        <v>0</v>
      </c>
      <c r="O56" s="15">
        <v>0</v>
      </c>
      <c r="P56" s="15"/>
      <c r="Q56" s="15">
        <v>0</v>
      </c>
      <c r="R56" s="15">
        <v>0</v>
      </c>
      <c r="S56" s="15">
        <v>0</v>
      </c>
      <c r="T56" s="15"/>
      <c r="U56" s="15"/>
      <c r="V56" s="15"/>
      <c r="W56" s="15"/>
      <c r="X56" s="15"/>
      <c r="Y56" s="15"/>
      <c r="Z56" s="4"/>
      <c r="AA56" s="4"/>
    </row>
    <row r="57" spans="1:27" ht="14.25">
      <c r="A57" s="35">
        <f t="shared" si="0"/>
        <v>41</v>
      </c>
      <c r="B57" s="20" t="s">
        <v>163</v>
      </c>
      <c r="C57" s="15">
        <f t="shared" si="2"/>
        <v>0</v>
      </c>
      <c r="D57" s="15">
        <f t="shared" si="3"/>
        <v>-1.05</v>
      </c>
      <c r="E57" s="15"/>
      <c r="F57" s="15"/>
      <c r="G57" s="15">
        <f t="shared" si="4"/>
        <v>-1</v>
      </c>
      <c r="H57" s="15"/>
      <c r="I57" s="15">
        <f t="shared" si="1"/>
        <v>-0.525</v>
      </c>
      <c r="J57" s="15">
        <f t="shared" si="1"/>
        <v>0</v>
      </c>
      <c r="K57" s="15">
        <f t="shared" si="1"/>
        <v>0</v>
      </c>
      <c r="L57" s="15"/>
      <c r="M57" s="15">
        <v>0</v>
      </c>
      <c r="N57" s="15">
        <v>0</v>
      </c>
      <c r="O57" s="15">
        <v>0</v>
      </c>
      <c r="P57" s="15"/>
      <c r="Q57" s="15">
        <v>-1.05</v>
      </c>
      <c r="R57" s="15">
        <v>0</v>
      </c>
      <c r="S57" s="15">
        <v>0</v>
      </c>
      <c r="T57" s="15"/>
      <c r="U57" s="15"/>
      <c r="V57" s="15"/>
      <c r="W57" s="15"/>
      <c r="X57" s="15"/>
      <c r="Y57" s="15"/>
      <c r="Z57" s="4"/>
      <c r="AA57" s="4"/>
    </row>
    <row r="58" spans="1:27" ht="14.25">
      <c r="A58" s="35">
        <f t="shared" si="0"/>
        <v>42</v>
      </c>
      <c r="B58" s="20" t="s">
        <v>164</v>
      </c>
      <c r="C58" s="15">
        <f t="shared" si="2"/>
        <v>432015.54</v>
      </c>
      <c r="D58" s="15">
        <f t="shared" si="3"/>
        <v>492828.56</v>
      </c>
      <c r="E58" s="15"/>
      <c r="F58" s="15"/>
      <c r="G58" s="15">
        <f t="shared" si="4"/>
        <v>462422</v>
      </c>
      <c r="H58" s="15"/>
      <c r="I58" s="15">
        <f t="shared" si="1"/>
        <v>0</v>
      </c>
      <c r="J58" s="15">
        <f t="shared" si="1"/>
        <v>462422.05</v>
      </c>
      <c r="K58" s="15">
        <f t="shared" si="1"/>
        <v>0</v>
      </c>
      <c r="L58" s="15"/>
      <c r="M58" s="15">
        <v>0</v>
      </c>
      <c r="N58" s="15">
        <v>432015.54</v>
      </c>
      <c r="O58" s="15">
        <v>0</v>
      </c>
      <c r="P58" s="15"/>
      <c r="Q58" s="15">
        <v>0</v>
      </c>
      <c r="R58" s="15">
        <v>492828.56</v>
      </c>
      <c r="S58" s="15">
        <v>0</v>
      </c>
      <c r="T58" s="15"/>
      <c r="U58" s="15"/>
      <c r="V58" s="15"/>
      <c r="W58" s="15"/>
      <c r="X58" s="15"/>
      <c r="Y58" s="15"/>
      <c r="Z58" s="4"/>
      <c r="AA58" s="4"/>
    </row>
    <row r="59" spans="1:27" ht="14.25">
      <c r="A59" s="35">
        <f t="shared" si="0"/>
        <v>43</v>
      </c>
      <c r="B59" s="20" t="s">
        <v>165</v>
      </c>
      <c r="C59" s="15">
        <f t="shared" si="2"/>
        <v>0</v>
      </c>
      <c r="D59" s="15">
        <f t="shared" si="3"/>
        <v>0</v>
      </c>
      <c r="E59" s="15"/>
      <c r="F59" s="15"/>
      <c r="G59" s="15">
        <f t="shared" si="4"/>
        <v>0</v>
      </c>
      <c r="H59" s="15"/>
      <c r="I59" s="15">
        <f t="shared" si="1"/>
        <v>0</v>
      </c>
      <c r="J59" s="15">
        <f t="shared" si="1"/>
        <v>0</v>
      </c>
      <c r="K59" s="15">
        <f t="shared" si="1"/>
        <v>0</v>
      </c>
      <c r="L59" s="15"/>
      <c r="M59" s="15">
        <v>0</v>
      </c>
      <c r="N59" s="15">
        <v>0</v>
      </c>
      <c r="O59" s="15">
        <v>0</v>
      </c>
      <c r="P59" s="15"/>
      <c r="Q59" s="15">
        <v>0</v>
      </c>
      <c r="R59" s="15">
        <v>0</v>
      </c>
      <c r="S59" s="15">
        <v>0</v>
      </c>
      <c r="T59" s="15"/>
      <c r="U59" s="15"/>
      <c r="V59" s="15"/>
      <c r="W59" s="15"/>
      <c r="X59" s="15"/>
      <c r="Y59" s="15"/>
      <c r="Z59" s="4"/>
      <c r="AA59" s="4"/>
    </row>
    <row r="60" spans="1:27" ht="14.25">
      <c r="A60" s="35">
        <f t="shared" si="0"/>
        <v>44</v>
      </c>
      <c r="B60" s="20" t="s">
        <v>166</v>
      </c>
      <c r="C60" s="15">
        <f t="shared" si="2"/>
        <v>13422</v>
      </c>
      <c r="D60" s="15">
        <f t="shared" si="3"/>
        <v>13422</v>
      </c>
      <c r="E60" s="15"/>
      <c r="F60" s="15"/>
      <c r="G60" s="15">
        <f t="shared" si="4"/>
        <v>13422</v>
      </c>
      <c r="H60" s="15"/>
      <c r="I60" s="15">
        <f t="shared" si="1"/>
        <v>13422</v>
      </c>
      <c r="J60" s="15">
        <f t="shared" si="1"/>
        <v>0</v>
      </c>
      <c r="K60" s="15">
        <f t="shared" si="1"/>
        <v>0</v>
      </c>
      <c r="L60" s="15"/>
      <c r="M60" s="15">
        <v>13422</v>
      </c>
      <c r="N60" s="15">
        <v>0</v>
      </c>
      <c r="O60" s="15">
        <v>0</v>
      </c>
      <c r="P60" s="15"/>
      <c r="Q60" s="15">
        <v>13422</v>
      </c>
      <c r="R60" s="15">
        <v>0</v>
      </c>
      <c r="S60" s="15">
        <v>0</v>
      </c>
      <c r="T60" s="15"/>
      <c r="U60" s="15"/>
      <c r="V60" s="15"/>
      <c r="W60" s="15"/>
      <c r="X60" s="15"/>
      <c r="Y60" s="15"/>
      <c r="Z60" s="4"/>
      <c r="AA60" s="4"/>
    </row>
    <row r="61" spans="1:27" ht="14.25">
      <c r="A61" s="35">
        <f t="shared" si="0"/>
        <v>45</v>
      </c>
      <c r="B61" s="20" t="s">
        <v>167</v>
      </c>
      <c r="C61" s="15">
        <f t="shared" si="2"/>
        <v>15660</v>
      </c>
      <c r="D61" s="15">
        <f t="shared" si="3"/>
        <v>15660</v>
      </c>
      <c r="E61" s="15"/>
      <c r="F61" s="15"/>
      <c r="G61" s="15">
        <f t="shared" si="4"/>
        <v>15660</v>
      </c>
      <c r="H61" s="15"/>
      <c r="I61" s="15">
        <f t="shared" si="1"/>
        <v>15660</v>
      </c>
      <c r="J61" s="15">
        <f t="shared" si="1"/>
        <v>0</v>
      </c>
      <c r="K61" s="15">
        <f t="shared" si="1"/>
        <v>0</v>
      </c>
      <c r="L61" s="15"/>
      <c r="M61" s="15">
        <v>15660</v>
      </c>
      <c r="N61" s="15">
        <v>0</v>
      </c>
      <c r="O61" s="15">
        <v>0</v>
      </c>
      <c r="P61" s="15"/>
      <c r="Q61" s="15">
        <v>15660</v>
      </c>
      <c r="R61" s="15">
        <v>0</v>
      </c>
      <c r="S61" s="15">
        <v>0</v>
      </c>
      <c r="T61" s="15"/>
      <c r="U61" s="15"/>
      <c r="V61" s="15"/>
      <c r="W61" s="15"/>
      <c r="X61" s="15"/>
      <c r="Y61" s="15"/>
      <c r="Z61" s="4"/>
      <c r="AA61" s="4"/>
    </row>
    <row r="62" spans="1:27" ht="14.25">
      <c r="A62" s="35">
        <f t="shared" si="0"/>
        <v>46</v>
      </c>
      <c r="B62" s="20" t="s">
        <v>168</v>
      </c>
      <c r="C62" s="15">
        <f t="shared" si="2"/>
        <v>99325</v>
      </c>
      <c r="D62" s="15">
        <f t="shared" si="3"/>
        <v>99325</v>
      </c>
      <c r="E62" s="15"/>
      <c r="F62" s="15"/>
      <c r="G62" s="15">
        <f t="shared" si="4"/>
        <v>99325</v>
      </c>
      <c r="H62" s="15"/>
      <c r="I62" s="15">
        <f t="shared" si="1"/>
        <v>99325</v>
      </c>
      <c r="J62" s="15">
        <f t="shared" si="1"/>
        <v>0</v>
      </c>
      <c r="K62" s="15">
        <f t="shared" si="1"/>
        <v>0</v>
      </c>
      <c r="L62" s="15"/>
      <c r="M62" s="15">
        <v>99325</v>
      </c>
      <c r="N62" s="15">
        <v>0</v>
      </c>
      <c r="O62" s="15">
        <v>0</v>
      </c>
      <c r="P62" s="15"/>
      <c r="Q62" s="15">
        <v>99325</v>
      </c>
      <c r="R62" s="15">
        <v>0</v>
      </c>
      <c r="S62" s="15">
        <v>0</v>
      </c>
      <c r="T62" s="15"/>
      <c r="U62" s="15"/>
      <c r="V62" s="15"/>
      <c r="W62" s="15"/>
      <c r="X62" s="15"/>
      <c r="Y62" s="15"/>
      <c r="Z62" s="4"/>
      <c r="AA62" s="4"/>
    </row>
    <row r="63" spans="1:27" ht="14.25">
      <c r="A63" s="35">
        <f t="shared" si="0"/>
        <v>47</v>
      </c>
      <c r="B63" s="20" t="s">
        <v>169</v>
      </c>
      <c r="C63" s="15">
        <f t="shared" si="2"/>
        <v>6218</v>
      </c>
      <c r="D63" s="15">
        <f t="shared" si="3"/>
        <v>6218</v>
      </c>
      <c r="E63" s="15"/>
      <c r="F63" s="15"/>
      <c r="G63" s="15">
        <f t="shared" si="4"/>
        <v>6218</v>
      </c>
      <c r="H63" s="15"/>
      <c r="I63" s="15">
        <f t="shared" si="1"/>
        <v>6218</v>
      </c>
      <c r="J63" s="15">
        <f t="shared" si="1"/>
        <v>0</v>
      </c>
      <c r="K63" s="15">
        <f t="shared" si="1"/>
        <v>0</v>
      </c>
      <c r="L63" s="15"/>
      <c r="M63" s="15">
        <v>6218</v>
      </c>
      <c r="N63" s="15">
        <v>0</v>
      </c>
      <c r="O63" s="15">
        <v>0</v>
      </c>
      <c r="P63" s="15"/>
      <c r="Q63" s="15">
        <v>6218</v>
      </c>
      <c r="R63" s="15">
        <v>0</v>
      </c>
      <c r="S63" s="15">
        <v>0</v>
      </c>
      <c r="T63" s="15"/>
      <c r="U63" s="15"/>
      <c r="V63" s="15"/>
      <c r="W63" s="15"/>
      <c r="X63" s="15"/>
      <c r="Y63" s="15"/>
      <c r="Z63" s="4"/>
      <c r="AA63" s="4"/>
    </row>
    <row r="64" spans="1:27" ht="14.25">
      <c r="A64" s="35">
        <f t="shared" si="0"/>
        <v>48</v>
      </c>
      <c r="B64" s="36" t="s">
        <v>542</v>
      </c>
      <c r="C64" s="15">
        <f>SUM(M64:O64)</f>
        <v>160441</v>
      </c>
      <c r="D64" s="15">
        <f>SUM(Q64:S64)</f>
        <v>160441</v>
      </c>
      <c r="E64" s="15"/>
      <c r="F64" s="15"/>
      <c r="G64" s="15">
        <f>ROUND(SUM(C64:F64)/2,0)</f>
        <v>160441</v>
      </c>
      <c r="H64" s="15"/>
      <c r="I64" s="15">
        <f>(+M64+Q64)/2</f>
        <v>160441</v>
      </c>
      <c r="J64" s="15">
        <f>(+N64+R64)/2</f>
        <v>0</v>
      </c>
      <c r="K64" s="15">
        <f>(+O64+S64)/2</f>
        <v>0</v>
      </c>
      <c r="L64" s="15"/>
      <c r="M64" s="15">
        <v>160441</v>
      </c>
      <c r="N64" s="15">
        <v>0</v>
      </c>
      <c r="O64" s="15">
        <v>0</v>
      </c>
      <c r="P64" s="15"/>
      <c r="Q64" s="15">
        <v>160441</v>
      </c>
      <c r="R64" s="15">
        <v>0</v>
      </c>
      <c r="S64" s="15">
        <v>0</v>
      </c>
      <c r="T64" s="15"/>
      <c r="U64" s="15"/>
      <c r="V64" s="15"/>
      <c r="W64" s="15"/>
      <c r="X64" s="15"/>
      <c r="Y64" s="15"/>
      <c r="Z64" s="4"/>
      <c r="AA64" s="4"/>
    </row>
    <row r="65" spans="1:27" ht="14.25">
      <c r="A65" s="35">
        <f t="shared" si="0"/>
        <v>49</v>
      </c>
      <c r="B65" s="20" t="s">
        <v>170</v>
      </c>
      <c r="C65" s="15">
        <f t="shared" si="2"/>
        <v>380022.85</v>
      </c>
      <c r="D65" s="15">
        <f t="shared" si="3"/>
        <v>380022.85</v>
      </c>
      <c r="E65" s="15"/>
      <c r="F65" s="15"/>
      <c r="G65" s="15">
        <f t="shared" si="4"/>
        <v>380023</v>
      </c>
      <c r="H65" s="15"/>
      <c r="I65" s="15">
        <f t="shared" si="1"/>
        <v>380022.85</v>
      </c>
      <c r="J65" s="15">
        <f t="shared" si="1"/>
        <v>0</v>
      </c>
      <c r="K65" s="15">
        <f t="shared" si="1"/>
        <v>0</v>
      </c>
      <c r="L65" s="15"/>
      <c r="M65" s="15">
        <v>380022.85</v>
      </c>
      <c r="N65" s="15">
        <v>0</v>
      </c>
      <c r="O65" s="15">
        <v>0</v>
      </c>
      <c r="P65" s="15"/>
      <c r="Q65" s="15">
        <f>368903.85+11119</f>
        <v>380022.85</v>
      </c>
      <c r="R65" s="15">
        <v>0</v>
      </c>
      <c r="S65" s="15">
        <v>0</v>
      </c>
      <c r="T65" s="15"/>
      <c r="U65" s="15"/>
      <c r="V65" s="15"/>
      <c r="W65" s="15"/>
      <c r="X65" s="15"/>
      <c r="Y65" s="15"/>
      <c r="Z65" s="4"/>
      <c r="AA65" s="4"/>
    </row>
    <row r="66" spans="1:27" ht="14.25">
      <c r="A66" s="35">
        <f t="shared" si="0"/>
        <v>50</v>
      </c>
      <c r="B66" s="20" t="s">
        <v>171</v>
      </c>
      <c r="C66" s="15">
        <f t="shared" si="2"/>
        <v>-125145</v>
      </c>
      <c r="D66" s="15">
        <f t="shared" si="3"/>
        <v>-20000</v>
      </c>
      <c r="E66" s="15"/>
      <c r="F66" s="15"/>
      <c r="G66" s="15">
        <f t="shared" si="4"/>
        <v>-72573</v>
      </c>
      <c r="H66" s="15"/>
      <c r="I66" s="15">
        <f t="shared" si="1"/>
        <v>-72572.5</v>
      </c>
      <c r="J66" s="15">
        <f t="shared" si="1"/>
        <v>0</v>
      </c>
      <c r="K66" s="15">
        <f t="shared" si="1"/>
        <v>0</v>
      </c>
      <c r="L66" s="15"/>
      <c r="M66" s="15">
        <v>-125145</v>
      </c>
      <c r="N66" s="15">
        <v>0</v>
      </c>
      <c r="O66" s="15">
        <v>0</v>
      </c>
      <c r="P66" s="15"/>
      <c r="Q66" s="15">
        <v>-20000</v>
      </c>
      <c r="R66" s="15">
        <v>0</v>
      </c>
      <c r="S66" s="15">
        <v>0</v>
      </c>
      <c r="T66" s="15"/>
      <c r="U66" s="15"/>
      <c r="V66" s="15"/>
      <c r="W66" s="15"/>
      <c r="X66" s="15"/>
      <c r="Y66" s="15"/>
      <c r="Z66" s="4"/>
      <c r="AA66" s="4"/>
    </row>
    <row r="67" spans="1:27" ht="14.25">
      <c r="A67" s="35">
        <f t="shared" si="0"/>
        <v>51</v>
      </c>
      <c r="B67" s="20" t="s">
        <v>172</v>
      </c>
      <c r="C67" s="15">
        <f t="shared" si="2"/>
        <v>672814.56</v>
      </c>
      <c r="D67" s="15">
        <f t="shared" si="3"/>
        <v>595396.8</v>
      </c>
      <c r="E67" s="15"/>
      <c r="F67" s="15"/>
      <c r="G67" s="15">
        <f t="shared" si="4"/>
        <v>634106</v>
      </c>
      <c r="H67" s="15"/>
      <c r="I67" s="15">
        <f t="shared" si="1"/>
        <v>0</v>
      </c>
      <c r="J67" s="15">
        <f t="shared" si="1"/>
        <v>0</v>
      </c>
      <c r="K67" s="15">
        <f t="shared" si="1"/>
        <v>634105.68</v>
      </c>
      <c r="L67" s="15"/>
      <c r="M67" s="15">
        <v>0</v>
      </c>
      <c r="N67" s="15">
        <v>0</v>
      </c>
      <c r="O67" s="15">
        <v>672814.56</v>
      </c>
      <c r="P67" s="15"/>
      <c r="Q67" s="15">
        <v>0</v>
      </c>
      <c r="R67" s="15">
        <v>0</v>
      </c>
      <c r="S67" s="15">
        <v>595396.8</v>
      </c>
      <c r="T67" s="15"/>
      <c r="U67" s="15"/>
      <c r="V67" s="15"/>
      <c r="W67" s="15"/>
      <c r="X67" s="15"/>
      <c r="Y67" s="15"/>
      <c r="Z67" s="4"/>
      <c r="AA67" s="4"/>
    </row>
    <row r="68" spans="1:27" ht="14.25">
      <c r="A68" s="35">
        <f t="shared" si="0"/>
        <v>52</v>
      </c>
      <c r="B68" s="20" t="s">
        <v>173</v>
      </c>
      <c r="C68" s="15">
        <f t="shared" si="2"/>
        <v>515620.47</v>
      </c>
      <c r="D68" s="15">
        <f>SUM(Q68:S68)</f>
        <v>580072.96</v>
      </c>
      <c r="E68" s="15"/>
      <c r="F68" s="15"/>
      <c r="G68" s="15">
        <f>ROUND(SUM(C68:F68)/2,0)</f>
        <v>547847</v>
      </c>
      <c r="H68" s="15"/>
      <c r="I68" s="15">
        <f t="shared" si="1"/>
        <v>0</v>
      </c>
      <c r="J68" s="15">
        <f t="shared" si="1"/>
        <v>547846.715</v>
      </c>
      <c r="K68" s="15">
        <f t="shared" si="1"/>
        <v>0</v>
      </c>
      <c r="L68" s="15"/>
      <c r="M68" s="15">
        <v>0</v>
      </c>
      <c r="N68" s="15">
        <v>515620.47</v>
      </c>
      <c r="O68" s="15">
        <v>0</v>
      </c>
      <c r="P68" s="15"/>
      <c r="Q68" s="15">
        <v>0</v>
      </c>
      <c r="R68" s="15">
        <v>580072.96</v>
      </c>
      <c r="S68" s="15">
        <v>0</v>
      </c>
      <c r="T68" s="15"/>
      <c r="U68" s="15"/>
      <c r="V68" s="15"/>
      <c r="W68" s="15"/>
      <c r="X68" s="15"/>
      <c r="Y68" s="15"/>
      <c r="Z68" s="4"/>
      <c r="AA68" s="4"/>
    </row>
    <row r="69" spans="1:27" ht="14.25">
      <c r="A69" s="35">
        <f t="shared" si="0"/>
        <v>53</v>
      </c>
      <c r="B69" s="20" t="s">
        <v>174</v>
      </c>
      <c r="C69" s="15">
        <f t="shared" si="2"/>
        <v>5820999.77</v>
      </c>
      <c r="D69" s="15">
        <f t="shared" si="3"/>
        <v>5547268.3</v>
      </c>
      <c r="E69" s="15"/>
      <c r="F69" s="15"/>
      <c r="G69" s="15">
        <f t="shared" si="4"/>
        <v>5684134</v>
      </c>
      <c r="H69" s="15"/>
      <c r="I69" s="15">
        <f t="shared" si="1"/>
        <v>5684134.035</v>
      </c>
      <c r="J69" s="15">
        <f t="shared" si="1"/>
        <v>0</v>
      </c>
      <c r="K69" s="15">
        <f t="shared" si="1"/>
        <v>0</v>
      </c>
      <c r="L69" s="15"/>
      <c r="M69" s="15">
        <v>5820999.77</v>
      </c>
      <c r="N69" s="15">
        <v>0</v>
      </c>
      <c r="O69" s="15">
        <v>0</v>
      </c>
      <c r="P69" s="15"/>
      <c r="Q69" s="15">
        <v>5547268.3</v>
      </c>
      <c r="R69" s="15">
        <v>0</v>
      </c>
      <c r="S69" s="15">
        <v>0</v>
      </c>
      <c r="T69" s="15"/>
      <c r="U69" s="15"/>
      <c r="V69" s="15"/>
      <c r="W69" s="15"/>
      <c r="X69" s="15"/>
      <c r="Y69" s="15"/>
      <c r="Z69" s="4"/>
      <c r="AA69" s="4"/>
    </row>
    <row r="70" spans="1:27" ht="14.25">
      <c r="A70" s="35">
        <f t="shared" si="0"/>
        <v>54</v>
      </c>
      <c r="B70" s="20" t="s">
        <v>593</v>
      </c>
      <c r="C70" s="15">
        <f t="shared" si="2"/>
        <v>1479038.75</v>
      </c>
      <c r="D70" s="15">
        <f>SUM(Q70:S70)</f>
        <v>0</v>
      </c>
      <c r="E70" s="15"/>
      <c r="F70" s="15"/>
      <c r="G70" s="15">
        <f>ROUND(SUM(C70:F70)/2,0)</f>
        <v>739519</v>
      </c>
      <c r="H70" s="15"/>
      <c r="I70" s="15">
        <f t="shared" si="1"/>
        <v>739519.375</v>
      </c>
      <c r="J70" s="15">
        <f t="shared" si="1"/>
        <v>0</v>
      </c>
      <c r="K70" s="15">
        <f t="shared" si="1"/>
        <v>0</v>
      </c>
      <c r="L70" s="15"/>
      <c r="M70" s="15">
        <v>1479038.75</v>
      </c>
      <c r="N70" s="15">
        <v>0</v>
      </c>
      <c r="O70" s="15">
        <v>0</v>
      </c>
      <c r="P70" s="15"/>
      <c r="Q70" s="15">
        <v>0</v>
      </c>
      <c r="R70" s="15">
        <v>0</v>
      </c>
      <c r="S70" s="15">
        <v>0</v>
      </c>
      <c r="T70" s="15"/>
      <c r="U70" s="15"/>
      <c r="V70" s="15"/>
      <c r="W70" s="15"/>
      <c r="X70" s="15"/>
      <c r="Y70" s="15"/>
      <c r="Z70" s="4"/>
      <c r="AA70" s="4"/>
    </row>
    <row r="71" spans="1:27" ht="14.25">
      <c r="A71" s="35">
        <f t="shared" si="0"/>
        <v>55</v>
      </c>
      <c r="B71" s="20" t="s">
        <v>175</v>
      </c>
      <c r="C71" s="15">
        <f t="shared" si="2"/>
        <v>40979.15</v>
      </c>
      <c r="D71" s="15">
        <f t="shared" si="3"/>
        <v>17561.35</v>
      </c>
      <c r="E71" s="15"/>
      <c r="F71" s="15"/>
      <c r="G71" s="15">
        <f t="shared" si="4"/>
        <v>29270</v>
      </c>
      <c r="H71" s="15"/>
      <c r="I71" s="15">
        <f t="shared" si="1"/>
        <v>8923</v>
      </c>
      <c r="J71" s="15">
        <f t="shared" si="1"/>
        <v>50.175000000000004</v>
      </c>
      <c r="K71" s="15">
        <f t="shared" si="1"/>
        <v>20297.075</v>
      </c>
      <c r="L71" s="15"/>
      <c r="M71" s="15">
        <v>7455.45</v>
      </c>
      <c r="N71" s="15">
        <v>26.2</v>
      </c>
      <c r="O71" s="15">
        <v>33497.5</v>
      </c>
      <c r="P71" s="15"/>
      <c r="Q71" s="15">
        <v>10390.55</v>
      </c>
      <c r="R71" s="15">
        <v>74.15</v>
      </c>
      <c r="S71" s="15">
        <v>7096.65</v>
      </c>
      <c r="T71" s="15"/>
      <c r="U71" s="15"/>
      <c r="V71" s="15"/>
      <c r="W71" s="15"/>
      <c r="X71" s="15"/>
      <c r="Y71" s="15"/>
      <c r="Z71" s="4"/>
      <c r="AA71" s="4"/>
    </row>
    <row r="72" spans="1:27" ht="14.25">
      <c r="A72" s="35">
        <f t="shared" si="0"/>
        <v>56</v>
      </c>
      <c r="B72" s="20" t="s">
        <v>176</v>
      </c>
      <c r="C72" s="15">
        <f t="shared" si="2"/>
        <v>1562326</v>
      </c>
      <c r="D72" s="15">
        <f t="shared" si="3"/>
        <v>1562326</v>
      </c>
      <c r="E72" s="15"/>
      <c r="F72" s="15"/>
      <c r="G72" s="15">
        <f t="shared" si="4"/>
        <v>1562326</v>
      </c>
      <c r="H72" s="15"/>
      <c r="I72" s="15">
        <f t="shared" si="1"/>
        <v>0</v>
      </c>
      <c r="J72" s="15">
        <f t="shared" si="1"/>
        <v>1562326</v>
      </c>
      <c r="K72" s="15">
        <f t="shared" si="1"/>
        <v>0</v>
      </c>
      <c r="L72" s="15"/>
      <c r="M72" s="15">
        <v>0</v>
      </c>
      <c r="N72" s="15">
        <v>1562326</v>
      </c>
      <c r="O72" s="15">
        <v>0</v>
      </c>
      <c r="P72" s="15"/>
      <c r="Q72" s="15">
        <v>0</v>
      </c>
      <c r="R72" s="15">
        <v>1562326</v>
      </c>
      <c r="S72" s="15">
        <v>0</v>
      </c>
      <c r="T72" s="15"/>
      <c r="U72" s="15"/>
      <c r="V72" s="15"/>
      <c r="W72" s="15"/>
      <c r="X72" s="15"/>
      <c r="Y72" s="15"/>
      <c r="Z72" s="4"/>
      <c r="AA72" s="4"/>
    </row>
    <row r="73" spans="1:27" ht="14.25">
      <c r="A73" s="35">
        <f t="shared" si="0"/>
        <v>57</v>
      </c>
      <c r="B73" s="20" t="s">
        <v>177</v>
      </c>
      <c r="C73" s="15">
        <f t="shared" si="2"/>
        <v>903483.1699999999</v>
      </c>
      <c r="D73" s="15">
        <f t="shared" si="3"/>
        <v>6349500.79</v>
      </c>
      <c r="E73" s="15"/>
      <c r="F73" s="15"/>
      <c r="G73" s="15">
        <f t="shared" si="4"/>
        <v>3626492</v>
      </c>
      <c r="H73" s="15"/>
      <c r="I73" s="15">
        <f t="shared" si="1"/>
        <v>1274342.29</v>
      </c>
      <c r="J73" s="15">
        <f t="shared" si="1"/>
        <v>295157.2</v>
      </c>
      <c r="K73" s="15">
        <f t="shared" si="1"/>
        <v>2056992.4899999998</v>
      </c>
      <c r="L73" s="15"/>
      <c r="M73" s="15">
        <v>116677.46</v>
      </c>
      <c r="N73" s="15">
        <v>96908.51</v>
      </c>
      <c r="O73" s="15">
        <v>689897.2</v>
      </c>
      <c r="P73" s="15"/>
      <c r="Q73" s="15">
        <v>2432007.12</v>
      </c>
      <c r="R73" s="15">
        <v>493405.89</v>
      </c>
      <c r="S73" s="15">
        <v>3424087.78</v>
      </c>
      <c r="T73" s="15"/>
      <c r="U73" s="15"/>
      <c r="V73" s="15"/>
      <c r="W73" s="15"/>
      <c r="X73" s="15"/>
      <c r="Y73" s="15"/>
      <c r="Z73" s="4"/>
      <c r="AA73" s="4"/>
    </row>
    <row r="74" spans="1:27" ht="14.25">
      <c r="A74" s="35">
        <f t="shared" si="0"/>
        <v>58</v>
      </c>
      <c r="B74" s="20" t="s">
        <v>178</v>
      </c>
      <c r="C74" s="15">
        <f t="shared" si="2"/>
        <v>11569715.85</v>
      </c>
      <c r="D74" s="15">
        <f>SUM(Q74:S74)</f>
        <v>11569715.85</v>
      </c>
      <c r="E74" s="15"/>
      <c r="F74" s="15"/>
      <c r="G74" s="15">
        <f>ROUND(SUM(C74:F74)/2,0)</f>
        <v>11569716</v>
      </c>
      <c r="H74" s="15"/>
      <c r="I74" s="15">
        <f t="shared" si="1"/>
        <v>5813426.5</v>
      </c>
      <c r="J74" s="15">
        <f t="shared" si="1"/>
        <v>523254.55</v>
      </c>
      <c r="K74" s="15">
        <f t="shared" si="1"/>
        <v>5233034.8</v>
      </c>
      <c r="L74" s="15"/>
      <c r="M74" s="15">
        <v>5813426.5</v>
      </c>
      <c r="N74" s="15">
        <v>523254.55</v>
      </c>
      <c r="O74" s="15">
        <v>5233034.8</v>
      </c>
      <c r="P74" s="15"/>
      <c r="Q74" s="15">
        <v>5813426.5</v>
      </c>
      <c r="R74" s="15">
        <v>523254.55</v>
      </c>
      <c r="S74" s="15">
        <v>5233034.8</v>
      </c>
      <c r="T74" s="15"/>
      <c r="U74" s="15"/>
      <c r="V74" s="15"/>
      <c r="W74" s="15"/>
      <c r="X74" s="15"/>
      <c r="Y74" s="15"/>
      <c r="Z74" s="4"/>
      <c r="AA74" s="4"/>
    </row>
    <row r="75" spans="1:27" ht="14.25">
      <c r="A75" s="35">
        <f t="shared" si="0"/>
        <v>59</v>
      </c>
      <c r="B75" s="20" t="s">
        <v>179</v>
      </c>
      <c r="C75" s="15">
        <f t="shared" si="2"/>
        <v>-7115595.199999999</v>
      </c>
      <c r="D75" s="15">
        <f>SUM(Q75:S75)</f>
        <v>-8915685.87</v>
      </c>
      <c r="E75" s="15"/>
      <c r="F75" s="15"/>
      <c r="G75" s="15">
        <f>ROUND(SUM(C75:F75)/2,0)</f>
        <v>-8015641</v>
      </c>
      <c r="H75" s="15"/>
      <c r="I75" s="15">
        <f t="shared" si="1"/>
        <v>-3456279.2</v>
      </c>
      <c r="J75" s="15">
        <f t="shared" si="1"/>
        <v>-477187.735</v>
      </c>
      <c r="K75" s="15">
        <f t="shared" si="1"/>
        <v>-4082173.5999999996</v>
      </c>
      <c r="L75" s="15"/>
      <c r="M75" s="15">
        <v>-3091640.5</v>
      </c>
      <c r="N75" s="15">
        <v>-367764.51</v>
      </c>
      <c r="O75" s="15">
        <v>-3656190.19</v>
      </c>
      <c r="P75" s="15"/>
      <c r="Q75" s="15">
        <v>-3820917.9</v>
      </c>
      <c r="R75" s="15">
        <v>-586610.96</v>
      </c>
      <c r="S75" s="15">
        <v>-4508157.01</v>
      </c>
      <c r="T75" s="15"/>
      <c r="U75" s="15"/>
      <c r="V75" s="15"/>
      <c r="W75" s="15"/>
      <c r="X75" s="15"/>
      <c r="Y75" s="15"/>
      <c r="Z75" s="4"/>
      <c r="AA75" s="4"/>
    </row>
    <row r="76" spans="1:27" ht="14.25">
      <c r="A76" s="35">
        <f t="shared" si="0"/>
        <v>60</v>
      </c>
      <c r="B76" s="20" t="s">
        <v>180</v>
      </c>
      <c r="C76" s="15">
        <f t="shared" si="2"/>
        <v>6244055.13</v>
      </c>
      <c r="D76" s="15">
        <f t="shared" si="3"/>
        <v>6947919.09</v>
      </c>
      <c r="E76" s="15"/>
      <c r="F76" s="15"/>
      <c r="G76" s="15">
        <f t="shared" si="4"/>
        <v>6595987</v>
      </c>
      <c r="H76" s="15"/>
      <c r="I76" s="15">
        <f t="shared" si="1"/>
        <v>3262438.935</v>
      </c>
      <c r="J76" s="15">
        <f t="shared" si="1"/>
        <v>701883.975</v>
      </c>
      <c r="K76" s="15">
        <f t="shared" si="1"/>
        <v>2631664.2</v>
      </c>
      <c r="L76" s="15"/>
      <c r="M76" s="15">
        <v>3216546.58</v>
      </c>
      <c r="N76" s="15">
        <v>476975.72</v>
      </c>
      <c r="O76" s="15">
        <v>2550532.83</v>
      </c>
      <c r="P76" s="15"/>
      <c r="Q76" s="15">
        <v>3308331.29</v>
      </c>
      <c r="R76" s="15">
        <v>926792.23</v>
      </c>
      <c r="S76" s="15">
        <v>2712795.57</v>
      </c>
      <c r="T76" s="15"/>
      <c r="U76" s="15"/>
      <c r="V76" s="15"/>
      <c r="W76" s="15"/>
      <c r="X76" s="15"/>
      <c r="Y76" s="15"/>
      <c r="Z76" s="4"/>
      <c r="AA76" s="4"/>
    </row>
    <row r="77" spans="1:27" ht="14.25">
      <c r="A77" s="35">
        <f t="shared" si="0"/>
        <v>61</v>
      </c>
      <c r="B77" s="20" t="s">
        <v>181</v>
      </c>
      <c r="C77" s="15">
        <f t="shared" si="2"/>
        <v>47992916.779999994</v>
      </c>
      <c r="D77" s="15">
        <f t="shared" si="3"/>
        <v>49704741.77</v>
      </c>
      <c r="E77" s="15"/>
      <c r="F77" s="15"/>
      <c r="G77" s="15">
        <f t="shared" si="4"/>
        <v>48848829</v>
      </c>
      <c r="H77" s="15"/>
      <c r="I77" s="15">
        <f t="shared" si="1"/>
        <v>48444247.275</v>
      </c>
      <c r="J77" s="15">
        <f t="shared" si="1"/>
        <v>7008.61</v>
      </c>
      <c r="K77" s="15">
        <f t="shared" si="1"/>
        <v>397573.39</v>
      </c>
      <c r="L77" s="15"/>
      <c r="M77" s="15">
        <v>47581096.91</v>
      </c>
      <c r="N77" s="15">
        <v>7222.4</v>
      </c>
      <c r="O77" s="15">
        <v>404597.47</v>
      </c>
      <c r="P77" s="15"/>
      <c r="Q77" s="15">
        <f>38698388.64+10609009</f>
        <v>49307397.64</v>
      </c>
      <c r="R77" s="15">
        <v>6794.82</v>
      </c>
      <c r="S77" s="15">
        <v>390549.31</v>
      </c>
      <c r="T77" s="15"/>
      <c r="U77" s="15"/>
      <c r="V77" s="15"/>
      <c r="W77" s="15"/>
      <c r="X77" s="15"/>
      <c r="Y77" s="15"/>
      <c r="Z77" s="4"/>
      <c r="AA77" s="4"/>
    </row>
    <row r="78" spans="1:27" ht="14.25">
      <c r="A78" s="35">
        <f t="shared" si="0"/>
        <v>62</v>
      </c>
      <c r="B78" s="20" t="s">
        <v>182</v>
      </c>
      <c r="C78" s="15">
        <f t="shared" si="2"/>
        <v>-5729453.37</v>
      </c>
      <c r="D78" s="15">
        <f>SUM(Q78:S78)</f>
        <v>-5729453.37</v>
      </c>
      <c r="E78" s="15"/>
      <c r="F78" s="15"/>
      <c r="G78" s="15">
        <f>ROUND(SUM(C78:F78)/2,0)</f>
        <v>-5729453</v>
      </c>
      <c r="H78" s="15"/>
      <c r="I78" s="15">
        <f t="shared" si="1"/>
        <v>-2430799.54</v>
      </c>
      <c r="J78" s="15">
        <f t="shared" si="1"/>
        <v>-350341.9</v>
      </c>
      <c r="K78" s="15">
        <f t="shared" si="1"/>
        <v>-2948311.93</v>
      </c>
      <c r="L78" s="15"/>
      <c r="M78" s="15">
        <v>-2430799.54</v>
      </c>
      <c r="N78" s="15">
        <v>-350341.9</v>
      </c>
      <c r="O78" s="15">
        <v>-2948311.93</v>
      </c>
      <c r="P78" s="15"/>
      <c r="Q78" s="15">
        <v>-2430799.54</v>
      </c>
      <c r="R78" s="15">
        <v>-350341.9</v>
      </c>
      <c r="S78" s="15">
        <v>-2948311.93</v>
      </c>
      <c r="T78" s="15"/>
      <c r="U78" s="15"/>
      <c r="V78" s="15"/>
      <c r="W78" s="15"/>
      <c r="X78" s="15"/>
      <c r="Y78" s="15"/>
      <c r="Z78" s="4"/>
      <c r="AA78" s="4"/>
    </row>
    <row r="79" spans="1:27" ht="14.25">
      <c r="A79" s="35">
        <f t="shared" si="0"/>
        <v>63</v>
      </c>
      <c r="B79" s="20" t="s">
        <v>183</v>
      </c>
      <c r="C79" s="15">
        <f t="shared" si="2"/>
        <v>4001217.1</v>
      </c>
      <c r="D79" s="15">
        <f>SUM(Q79:S79)</f>
        <v>3910033.41</v>
      </c>
      <c r="E79" s="15"/>
      <c r="F79" s="15"/>
      <c r="G79" s="15">
        <f>ROUND(SUM(C79:F79)/2,0)</f>
        <v>3955625</v>
      </c>
      <c r="H79" s="15"/>
      <c r="I79" s="15">
        <f t="shared" si="1"/>
        <v>3955625.255</v>
      </c>
      <c r="J79" s="15">
        <f t="shared" si="1"/>
        <v>0</v>
      </c>
      <c r="K79" s="15">
        <f t="shared" si="1"/>
        <v>0</v>
      </c>
      <c r="L79" s="15"/>
      <c r="M79" s="15">
        <v>4001217.1</v>
      </c>
      <c r="N79" s="15">
        <v>0</v>
      </c>
      <c r="O79" s="15">
        <v>0</v>
      </c>
      <c r="P79" s="15"/>
      <c r="Q79" s="15">
        <v>3910033.41</v>
      </c>
      <c r="R79" s="15">
        <v>0</v>
      </c>
      <c r="S79" s="15">
        <v>0</v>
      </c>
      <c r="T79" s="15"/>
      <c r="U79" s="15"/>
      <c r="V79" s="15"/>
      <c r="W79" s="15"/>
      <c r="X79" s="15"/>
      <c r="Y79" s="15"/>
      <c r="Z79" s="4"/>
      <c r="AA79" s="4"/>
    </row>
    <row r="80" spans="1:25" s="4" customFormat="1" ht="14.25">
      <c r="A80" s="35">
        <f t="shared" si="0"/>
        <v>64</v>
      </c>
      <c r="B80" s="36" t="s">
        <v>543</v>
      </c>
      <c r="C80" s="15">
        <f t="shared" si="2"/>
        <v>121212.84</v>
      </c>
      <c r="D80" s="15">
        <f>SUM(Q80:S80)</f>
        <v>121212.84</v>
      </c>
      <c r="E80" s="15"/>
      <c r="F80" s="15"/>
      <c r="G80" s="15">
        <f>ROUND(SUM(C80:F80)/2,0)</f>
        <v>121213</v>
      </c>
      <c r="H80" s="15"/>
      <c r="I80" s="15">
        <f>(+M80+Q80)/2</f>
        <v>121212.84</v>
      </c>
      <c r="J80" s="15">
        <f>(+N80+R80)/2</f>
        <v>0</v>
      </c>
      <c r="K80" s="15">
        <f>(+O80+S80)/2</f>
        <v>0</v>
      </c>
      <c r="L80" s="15"/>
      <c r="M80" s="15">
        <v>121212.84</v>
      </c>
      <c r="N80" s="15">
        <v>0</v>
      </c>
      <c r="O80" s="15">
        <v>0</v>
      </c>
      <c r="P80" s="15"/>
      <c r="Q80" s="15">
        <v>121212.84</v>
      </c>
      <c r="R80" s="15">
        <v>0</v>
      </c>
      <c r="S80" s="15">
        <v>0</v>
      </c>
      <c r="T80" s="15"/>
      <c r="U80" s="15"/>
      <c r="V80" s="15"/>
      <c r="W80" s="15"/>
      <c r="X80" s="15"/>
      <c r="Y80" s="15"/>
    </row>
    <row r="81" spans="1:27" ht="14.25">
      <c r="A81" s="35">
        <f t="shared" si="0"/>
        <v>65</v>
      </c>
      <c r="B81" s="20" t="s">
        <v>184</v>
      </c>
      <c r="C81" s="15">
        <f t="shared" si="2"/>
        <v>91945901.19999999</v>
      </c>
      <c r="D81" s="15">
        <f t="shared" si="3"/>
        <v>85026956.65</v>
      </c>
      <c r="E81" s="15"/>
      <c r="F81" s="15"/>
      <c r="G81" s="15">
        <f t="shared" si="4"/>
        <v>88486429</v>
      </c>
      <c r="H81" s="15"/>
      <c r="I81" s="15">
        <f t="shared" si="1"/>
        <v>12547410.3</v>
      </c>
      <c r="J81" s="15">
        <f t="shared" si="1"/>
        <v>27567750.275</v>
      </c>
      <c r="K81" s="15">
        <f t="shared" si="1"/>
        <v>48371268.349999994</v>
      </c>
      <c r="L81" s="15"/>
      <c r="M81" s="15">
        <v>13233185.95</v>
      </c>
      <c r="N81" s="15">
        <v>28274424.6</v>
      </c>
      <c r="O81" s="15">
        <v>50438290.65</v>
      </c>
      <c r="P81" s="15"/>
      <c r="Q81" s="15">
        <v>11861634.65</v>
      </c>
      <c r="R81" s="15">
        <v>26861075.95</v>
      </c>
      <c r="S81" s="15">
        <v>46304246.05</v>
      </c>
      <c r="T81" s="15"/>
      <c r="U81" s="15"/>
      <c r="V81" s="15"/>
      <c r="W81" s="15"/>
      <c r="X81" s="15"/>
      <c r="Y81" s="15"/>
      <c r="Z81" s="4"/>
      <c r="AA81" s="4"/>
    </row>
    <row r="82" spans="1:27" ht="14.25">
      <c r="A82" s="35">
        <f aca="true" t="shared" si="5" ref="A82:A110">A81+1</f>
        <v>66</v>
      </c>
      <c r="B82" s="20" t="s">
        <v>185</v>
      </c>
      <c r="C82" s="15">
        <f t="shared" si="2"/>
        <v>-17574.9</v>
      </c>
      <c r="D82" s="15">
        <f t="shared" si="3"/>
        <v>-52887.799999999996</v>
      </c>
      <c r="E82" s="15"/>
      <c r="F82" s="15"/>
      <c r="G82" s="15">
        <f t="shared" si="4"/>
        <v>-35231</v>
      </c>
      <c r="H82" s="15"/>
      <c r="I82" s="15">
        <f t="shared" si="1"/>
        <v>-4808.125</v>
      </c>
      <c r="J82" s="15">
        <f t="shared" si="1"/>
        <v>-13151.775</v>
      </c>
      <c r="K82" s="15">
        <f t="shared" si="1"/>
        <v>-17271.45</v>
      </c>
      <c r="L82" s="15"/>
      <c r="M82" s="15">
        <v>-997.85</v>
      </c>
      <c r="N82" s="15">
        <v>-12349.75</v>
      </c>
      <c r="O82" s="15">
        <v>-4227.3</v>
      </c>
      <c r="P82" s="15"/>
      <c r="Q82" s="15">
        <v>-8618.4</v>
      </c>
      <c r="R82" s="15">
        <v>-13953.8</v>
      </c>
      <c r="S82" s="15">
        <v>-30315.6</v>
      </c>
      <c r="T82" s="15"/>
      <c r="U82" s="15"/>
      <c r="V82" s="15"/>
      <c r="W82" s="15"/>
      <c r="X82" s="15"/>
      <c r="Y82" s="15"/>
      <c r="Z82" s="4"/>
      <c r="AA82" s="4"/>
    </row>
    <row r="83" spans="1:27" ht="14.25">
      <c r="A83" s="35">
        <f t="shared" si="5"/>
        <v>67</v>
      </c>
      <c r="B83" s="20" t="s">
        <v>112</v>
      </c>
      <c r="C83" s="15">
        <f aca="true" t="shared" si="6" ref="C83:C95">SUM(M83:O83)</f>
        <v>20745935</v>
      </c>
      <c r="D83" s="15">
        <f aca="true" t="shared" si="7" ref="D83:D95">SUM(Q83:S83)</f>
        <v>27975765.200000003</v>
      </c>
      <c r="E83" s="15"/>
      <c r="F83" s="15"/>
      <c r="G83" s="15">
        <f>ROUND(SUM(C83:F83)/2,0)</f>
        <v>24360850</v>
      </c>
      <c r="H83" s="15"/>
      <c r="I83" s="15">
        <f t="shared" si="1"/>
        <v>16644604.5</v>
      </c>
      <c r="J83" s="15">
        <f t="shared" si="1"/>
        <v>3264450</v>
      </c>
      <c r="K83" s="15">
        <f t="shared" si="1"/>
        <v>4451795.6</v>
      </c>
      <c r="L83" s="15"/>
      <c r="M83" s="15">
        <f>6596154.95-146112.05-15756626.9+20458571.7+1877701.7</f>
        <v>13029689.399999999</v>
      </c>
      <c r="N83" s="15">
        <f>+-3151505+6415955</f>
        <v>3264450</v>
      </c>
      <c r="O83" s="15">
        <f>-20880664.7+20880664.7-3865531.25+8317326.85</f>
        <v>4451795.6</v>
      </c>
      <c r="P83" s="15"/>
      <c r="Q83" s="15">
        <f>5652946.95-146112.05+5346946.5-10475840.9+15177785.7+802411.4+2023680+1877702</f>
        <v>20259519.6</v>
      </c>
      <c r="R83" s="15">
        <f>-2916520.25+6180970.25</f>
        <v>3264450</v>
      </c>
      <c r="S83" s="15">
        <f>-16878887.2+16878887.2-4224506.3+8676301.9</f>
        <v>4451795.600000001</v>
      </c>
      <c r="T83" s="15"/>
      <c r="U83" s="15"/>
      <c r="V83" s="15"/>
      <c r="W83" s="15"/>
      <c r="X83" s="15"/>
      <c r="Y83" s="15"/>
      <c r="Z83" s="4"/>
      <c r="AA83" s="4"/>
    </row>
    <row r="84" spans="1:27" ht="14.25">
      <c r="A84" s="35">
        <f t="shared" si="5"/>
        <v>68</v>
      </c>
      <c r="B84" s="20" t="s">
        <v>186</v>
      </c>
      <c r="C84" s="15">
        <f t="shared" si="6"/>
        <v>-783321</v>
      </c>
      <c r="D84" s="15">
        <f t="shared" si="7"/>
        <v>-783321</v>
      </c>
      <c r="E84" s="15"/>
      <c r="F84" s="15"/>
      <c r="G84" s="15">
        <f>ROUND(SUM(C84:F84)/2,0)</f>
        <v>-783321</v>
      </c>
      <c r="H84" s="15"/>
      <c r="I84" s="15">
        <f t="shared" si="1"/>
        <v>-593235.65</v>
      </c>
      <c r="J84" s="15">
        <f t="shared" si="1"/>
        <v>0</v>
      </c>
      <c r="K84" s="15">
        <f t="shared" si="1"/>
        <v>-190085.34999999998</v>
      </c>
      <c r="L84" s="15"/>
      <c r="M84" s="15">
        <f>-962030.65+368795</f>
        <v>-593235.65</v>
      </c>
      <c r="N84" s="15">
        <v>0</v>
      </c>
      <c r="O84" s="15">
        <f>-315488.35+125403</f>
        <v>-190085.34999999998</v>
      </c>
      <c r="P84" s="15"/>
      <c r="Q84" s="15">
        <f>-962030.65+368795</f>
        <v>-593235.65</v>
      </c>
      <c r="R84" s="15">
        <v>0</v>
      </c>
      <c r="S84" s="15">
        <f>-315488.35+125403</f>
        <v>-190085.34999999998</v>
      </c>
      <c r="T84" s="15"/>
      <c r="U84" s="15"/>
      <c r="V84" s="15"/>
      <c r="W84" s="15"/>
      <c r="X84" s="15"/>
      <c r="Y84" s="15"/>
      <c r="Z84" s="4"/>
      <c r="AA84" s="4"/>
    </row>
    <row r="85" spans="1:27" ht="14.25">
      <c r="A85" s="35">
        <f t="shared" si="5"/>
        <v>69</v>
      </c>
      <c r="B85" s="20" t="s">
        <v>187</v>
      </c>
      <c r="C85" s="15">
        <f t="shared" si="6"/>
        <v>190085</v>
      </c>
      <c r="D85" s="15">
        <f t="shared" si="7"/>
        <v>190085</v>
      </c>
      <c r="E85" s="15"/>
      <c r="F85" s="15"/>
      <c r="G85" s="15">
        <f>ROUND(SUM(C85:F85)/2,0)</f>
        <v>190085</v>
      </c>
      <c r="H85" s="15"/>
      <c r="I85" s="15">
        <f t="shared" si="1"/>
        <v>0</v>
      </c>
      <c r="J85" s="15">
        <f t="shared" si="1"/>
        <v>0</v>
      </c>
      <c r="K85" s="15">
        <f t="shared" si="1"/>
        <v>190085</v>
      </c>
      <c r="L85" s="15"/>
      <c r="M85" s="15">
        <v>0</v>
      </c>
      <c r="N85" s="15">
        <v>0</v>
      </c>
      <c r="O85" s="15">
        <f>149485+40600</f>
        <v>190085</v>
      </c>
      <c r="P85" s="15"/>
      <c r="Q85" s="15">
        <f>-40600+40600</f>
        <v>0</v>
      </c>
      <c r="R85" s="15">
        <v>0</v>
      </c>
      <c r="S85" s="15">
        <f>149485+40600</f>
        <v>190085</v>
      </c>
      <c r="T85" s="15"/>
      <c r="U85" s="15"/>
      <c r="V85" s="15"/>
      <c r="W85" s="15"/>
      <c r="X85" s="15"/>
      <c r="Y85" s="15"/>
      <c r="Z85" s="4"/>
      <c r="AA85" s="4"/>
    </row>
    <row r="86" spans="1:27" ht="14.25">
      <c r="A86" s="35">
        <f t="shared" si="5"/>
        <v>70</v>
      </c>
      <c r="B86" s="20" t="s">
        <v>188</v>
      </c>
      <c r="C86" s="15">
        <f t="shared" si="6"/>
        <v>-0.15000000008149073</v>
      </c>
      <c r="D86" s="15">
        <f t="shared" si="7"/>
        <v>-807602.6500000001</v>
      </c>
      <c r="E86" s="15"/>
      <c r="F86" s="15"/>
      <c r="G86" s="15">
        <f>ROUND(SUM(C86:F86)/2,0)</f>
        <v>-403801</v>
      </c>
      <c r="H86" s="15"/>
      <c r="I86" s="15">
        <f aca="true" t="shared" si="8" ref="I86:K95">(+M86+Q86)/2</f>
        <v>-402030.42500000005</v>
      </c>
      <c r="J86" s="15">
        <f t="shared" si="8"/>
        <v>-34.5</v>
      </c>
      <c r="K86" s="15">
        <f t="shared" si="8"/>
        <v>-1736.475000000035</v>
      </c>
      <c r="L86" s="15"/>
      <c r="M86" s="15">
        <f>-369030.2+369030.6</f>
        <v>0.3999999999650754</v>
      </c>
      <c r="N86" s="15">
        <f>-468155.9+468156</f>
        <v>0.09999999997671694</v>
      </c>
      <c r="O86" s="15">
        <f>-766576.65+766576</f>
        <v>-0.6500000000232831</v>
      </c>
      <c r="P86" s="15"/>
      <c r="Q86" s="15">
        <f>-1173091.85+369030.6</f>
        <v>-804061.2500000001</v>
      </c>
      <c r="R86" s="15">
        <f>-468225.1+468156</f>
        <v>-69.09999999997672</v>
      </c>
      <c r="S86" s="15">
        <f>-770048.3+766576</f>
        <v>-3472.3000000000466</v>
      </c>
      <c r="T86" s="15"/>
      <c r="U86" s="15"/>
      <c r="V86" s="15"/>
      <c r="W86" s="15"/>
      <c r="X86" s="15"/>
      <c r="Y86" s="15"/>
      <c r="Z86" s="4"/>
      <c r="AA86" s="4"/>
    </row>
    <row r="87" spans="1:27" ht="14.25">
      <c r="A87" s="35">
        <f t="shared" si="5"/>
        <v>71</v>
      </c>
      <c r="B87" s="20" t="s">
        <v>189</v>
      </c>
      <c r="C87" s="15">
        <f t="shared" si="6"/>
        <v>-36321.6</v>
      </c>
      <c r="D87" s="15">
        <f t="shared" si="7"/>
        <v>23797.200000000004</v>
      </c>
      <c r="E87" s="15"/>
      <c r="F87" s="15"/>
      <c r="G87" s="15">
        <f>ROUND(SUM(C87:F87)/2,0)</f>
        <v>-6262</v>
      </c>
      <c r="H87" s="15"/>
      <c r="I87" s="15">
        <f t="shared" si="8"/>
        <v>-40655.825</v>
      </c>
      <c r="J87" s="15">
        <f t="shared" si="8"/>
        <v>10387.825</v>
      </c>
      <c r="K87" s="15">
        <f t="shared" si="8"/>
        <v>24005.800000000003</v>
      </c>
      <c r="L87" s="15"/>
      <c r="M87" s="15">
        <v>-49069.3</v>
      </c>
      <c r="N87" s="15">
        <v>9496.9</v>
      </c>
      <c r="O87" s="15">
        <v>3250.8</v>
      </c>
      <c r="P87" s="15"/>
      <c r="Q87" s="15">
        <v>-32242.35</v>
      </c>
      <c r="R87" s="15">
        <v>11278.75</v>
      </c>
      <c r="S87" s="15">
        <v>44760.8</v>
      </c>
      <c r="T87" s="15"/>
      <c r="U87" s="15"/>
      <c r="V87" s="15"/>
      <c r="W87" s="15"/>
      <c r="X87" s="15"/>
      <c r="Y87" s="15"/>
      <c r="Z87" s="4"/>
      <c r="AA87" s="4"/>
    </row>
    <row r="88" spans="1:27" ht="14.25">
      <c r="A88" s="35">
        <f t="shared" si="5"/>
        <v>72</v>
      </c>
      <c r="B88" s="20" t="s">
        <v>190</v>
      </c>
      <c r="C88" s="15">
        <f t="shared" si="6"/>
        <v>0</v>
      </c>
      <c r="D88" s="15">
        <f t="shared" si="7"/>
        <v>0</v>
      </c>
      <c r="E88" s="15"/>
      <c r="F88" s="15"/>
      <c r="G88" s="15">
        <f aca="true" t="shared" si="9" ref="G88:G105">ROUND(SUM(C88:F88)/2,0)</f>
        <v>0</v>
      </c>
      <c r="H88" s="15"/>
      <c r="I88" s="15">
        <f t="shared" si="8"/>
        <v>0</v>
      </c>
      <c r="J88" s="15">
        <f t="shared" si="8"/>
        <v>0</v>
      </c>
      <c r="K88" s="15">
        <f t="shared" si="8"/>
        <v>0</v>
      </c>
      <c r="L88" s="15"/>
      <c r="M88" s="15">
        <v>0</v>
      </c>
      <c r="N88" s="15">
        <v>0</v>
      </c>
      <c r="O88" s="15">
        <v>0</v>
      </c>
      <c r="P88" s="15"/>
      <c r="Q88" s="15">
        <v>0</v>
      </c>
      <c r="R88" s="15">
        <v>0</v>
      </c>
      <c r="S88" s="15">
        <v>0</v>
      </c>
      <c r="T88" s="15"/>
      <c r="U88" s="15"/>
      <c r="V88" s="15"/>
      <c r="W88" s="15"/>
      <c r="X88" s="15"/>
      <c r="Y88" s="15"/>
      <c r="Z88" s="4"/>
      <c r="AA88" s="4"/>
    </row>
    <row r="89" spans="1:27" ht="14.25">
      <c r="A89" s="35">
        <f t="shared" si="5"/>
        <v>73</v>
      </c>
      <c r="B89" s="20" t="s">
        <v>191</v>
      </c>
      <c r="C89" s="15">
        <f t="shared" si="6"/>
        <v>0.1</v>
      </c>
      <c r="D89" s="15">
        <f t="shared" si="7"/>
        <v>0.1</v>
      </c>
      <c r="E89" s="15"/>
      <c r="F89" s="15"/>
      <c r="G89" s="15">
        <f t="shared" si="9"/>
        <v>0</v>
      </c>
      <c r="H89" s="15"/>
      <c r="I89" s="15">
        <f t="shared" si="8"/>
        <v>0</v>
      </c>
      <c r="J89" s="15">
        <f t="shared" si="8"/>
        <v>0</v>
      </c>
      <c r="K89" s="15">
        <f t="shared" si="8"/>
        <v>0.1</v>
      </c>
      <c r="L89" s="15"/>
      <c r="M89" s="15">
        <v>0</v>
      </c>
      <c r="N89" s="15">
        <v>0</v>
      </c>
      <c r="O89" s="15">
        <v>0.1</v>
      </c>
      <c r="P89" s="15"/>
      <c r="Q89" s="15">
        <v>0</v>
      </c>
      <c r="R89" s="15">
        <v>0</v>
      </c>
      <c r="S89" s="15">
        <v>0.1</v>
      </c>
      <c r="T89" s="15"/>
      <c r="U89" s="15"/>
      <c r="V89" s="15"/>
      <c r="W89" s="15"/>
      <c r="X89" s="15"/>
      <c r="Y89" s="15"/>
      <c r="Z89" s="4"/>
      <c r="AA89" s="4"/>
    </row>
    <row r="90" spans="1:27" ht="14.25">
      <c r="A90" s="35">
        <f t="shared" si="5"/>
        <v>74</v>
      </c>
      <c r="B90" s="20" t="s">
        <v>192</v>
      </c>
      <c r="C90" s="15">
        <f t="shared" si="6"/>
        <v>89807.5</v>
      </c>
      <c r="D90" s="15">
        <f t="shared" si="7"/>
        <v>89807.5</v>
      </c>
      <c r="E90" s="15"/>
      <c r="F90" s="15"/>
      <c r="G90" s="15">
        <f t="shared" si="9"/>
        <v>89808</v>
      </c>
      <c r="H90" s="15"/>
      <c r="I90" s="15">
        <f t="shared" si="8"/>
        <v>0</v>
      </c>
      <c r="J90" s="15">
        <f t="shared" si="8"/>
        <v>0</v>
      </c>
      <c r="K90" s="15">
        <f t="shared" si="8"/>
        <v>89807.5</v>
      </c>
      <c r="L90" s="15"/>
      <c r="M90" s="15">
        <v>0</v>
      </c>
      <c r="N90" s="15">
        <v>0</v>
      </c>
      <c r="O90" s="15">
        <v>89807.5</v>
      </c>
      <c r="P90" s="15"/>
      <c r="Q90" s="15">
        <v>0</v>
      </c>
      <c r="R90" s="15">
        <v>0</v>
      </c>
      <c r="S90" s="15">
        <v>89807.5</v>
      </c>
      <c r="T90" s="15"/>
      <c r="U90" s="15"/>
      <c r="V90" s="15"/>
      <c r="W90" s="15"/>
      <c r="X90" s="15"/>
      <c r="Y90" s="15"/>
      <c r="Z90" s="4"/>
      <c r="AA90" s="4"/>
    </row>
    <row r="91" spans="1:27" ht="14.25">
      <c r="A91" s="35">
        <f t="shared" si="5"/>
        <v>75</v>
      </c>
      <c r="B91" s="20" t="s">
        <v>193</v>
      </c>
      <c r="C91" s="15">
        <f t="shared" si="6"/>
        <v>1409947.2</v>
      </c>
      <c r="D91" s="15">
        <f t="shared" si="7"/>
        <v>1409947.2</v>
      </c>
      <c r="E91" s="15"/>
      <c r="F91" s="15"/>
      <c r="G91" s="15">
        <f t="shared" si="9"/>
        <v>1409947</v>
      </c>
      <c r="H91" s="15"/>
      <c r="I91" s="15">
        <f t="shared" si="8"/>
        <v>0</v>
      </c>
      <c r="J91" s="15">
        <f t="shared" si="8"/>
        <v>0</v>
      </c>
      <c r="K91" s="15">
        <f t="shared" si="8"/>
        <v>1409947.2</v>
      </c>
      <c r="L91" s="15"/>
      <c r="M91" s="15">
        <v>0</v>
      </c>
      <c r="N91" s="15">
        <v>0</v>
      </c>
      <c r="O91" s="15">
        <v>1409947.2</v>
      </c>
      <c r="P91" s="15"/>
      <c r="Q91" s="15">
        <v>0</v>
      </c>
      <c r="R91" s="15">
        <v>0</v>
      </c>
      <c r="S91" s="15">
        <v>1409947.2</v>
      </c>
      <c r="T91" s="15"/>
      <c r="U91" s="15"/>
      <c r="V91" s="15"/>
      <c r="W91" s="15"/>
      <c r="X91" s="15"/>
      <c r="Y91" s="15"/>
      <c r="Z91" s="4"/>
      <c r="AA91" s="4"/>
    </row>
    <row r="92" spans="1:27" ht="14.25">
      <c r="A92" s="35">
        <f t="shared" si="5"/>
        <v>76</v>
      </c>
      <c r="B92" s="20" t="s">
        <v>194</v>
      </c>
      <c r="C92" s="15">
        <f t="shared" si="6"/>
        <v>0</v>
      </c>
      <c r="D92" s="15">
        <f t="shared" si="7"/>
        <v>0</v>
      </c>
      <c r="E92" s="15"/>
      <c r="F92" s="15"/>
      <c r="G92" s="15">
        <f t="shared" si="9"/>
        <v>0</v>
      </c>
      <c r="H92" s="15"/>
      <c r="I92" s="15">
        <f t="shared" si="8"/>
        <v>0</v>
      </c>
      <c r="J92" s="15">
        <f t="shared" si="8"/>
        <v>0</v>
      </c>
      <c r="K92" s="15">
        <f t="shared" si="8"/>
        <v>0</v>
      </c>
      <c r="L92" s="15"/>
      <c r="M92" s="15">
        <v>0</v>
      </c>
      <c r="N92" s="15">
        <v>0</v>
      </c>
      <c r="O92" s="15">
        <v>0</v>
      </c>
      <c r="P92" s="15"/>
      <c r="Q92" s="15">
        <v>0</v>
      </c>
      <c r="R92" s="15">
        <v>0</v>
      </c>
      <c r="S92" s="15">
        <v>0</v>
      </c>
      <c r="T92" s="15"/>
      <c r="U92" s="15"/>
      <c r="V92" s="15"/>
      <c r="W92" s="15"/>
      <c r="X92" s="15"/>
      <c r="Y92" s="15"/>
      <c r="Z92" s="4"/>
      <c r="AA92" s="4"/>
    </row>
    <row r="93" spans="1:27" ht="14.25">
      <c r="A93" s="35">
        <f t="shared" si="5"/>
        <v>77</v>
      </c>
      <c r="B93" s="20" t="s">
        <v>195</v>
      </c>
      <c r="C93" s="15">
        <f t="shared" si="6"/>
        <v>2945963.38</v>
      </c>
      <c r="D93" s="15">
        <f t="shared" si="7"/>
        <v>2740379.6799999997</v>
      </c>
      <c r="E93" s="15"/>
      <c r="F93" s="15"/>
      <c r="G93" s="15">
        <f t="shared" si="9"/>
        <v>2843172</v>
      </c>
      <c r="H93" s="15"/>
      <c r="I93" s="15">
        <f t="shared" si="8"/>
        <v>1849534.8399999999</v>
      </c>
      <c r="J93" s="15">
        <f t="shared" si="8"/>
        <v>726234.775</v>
      </c>
      <c r="K93" s="15">
        <f t="shared" si="8"/>
        <v>267401.915</v>
      </c>
      <c r="L93" s="15"/>
      <c r="M93" s="15">
        <v>1712467.49</v>
      </c>
      <c r="N93" s="15">
        <v>907969.65</v>
      </c>
      <c r="O93" s="15">
        <v>325526.24</v>
      </c>
      <c r="P93" s="15"/>
      <c r="Q93" s="15">
        <v>1986602.19</v>
      </c>
      <c r="R93" s="15">
        <v>544499.9</v>
      </c>
      <c r="S93" s="15">
        <v>209277.59</v>
      </c>
      <c r="T93" s="15"/>
      <c r="U93" s="15"/>
      <c r="V93" s="15"/>
      <c r="W93" s="15"/>
      <c r="X93" s="15"/>
      <c r="Y93" s="15"/>
      <c r="Z93" s="4"/>
      <c r="AA93" s="4"/>
    </row>
    <row r="94" spans="1:27" ht="14.25">
      <c r="A94" s="35">
        <f t="shared" si="5"/>
        <v>78</v>
      </c>
      <c r="B94" s="20" t="s">
        <v>196</v>
      </c>
      <c r="C94" s="15">
        <f t="shared" si="6"/>
        <v>26894757</v>
      </c>
      <c r="D94" s="15">
        <f t="shared" si="7"/>
        <v>2666619</v>
      </c>
      <c r="E94" s="15"/>
      <c r="F94" s="15"/>
      <c r="G94" s="15">
        <f t="shared" si="9"/>
        <v>14780688</v>
      </c>
      <c r="H94" s="15"/>
      <c r="I94" s="15">
        <f>(+M94+Q94)/2</f>
        <v>14564930.5</v>
      </c>
      <c r="J94" s="15">
        <f>(+N94+R94)/2</f>
        <v>87795</v>
      </c>
      <c r="K94" s="15">
        <f>(+O94+S94)/2</f>
        <v>127962.5</v>
      </c>
      <c r="L94" s="15"/>
      <c r="M94" s="15">
        <v>26576949</v>
      </c>
      <c r="N94" s="15">
        <v>87795</v>
      </c>
      <c r="O94" s="15">
        <v>230013</v>
      </c>
      <c r="P94" s="15"/>
      <c r="Q94" s="15">
        <v>2552912</v>
      </c>
      <c r="R94" s="15">
        <v>87795</v>
      </c>
      <c r="S94" s="15">
        <v>25912</v>
      </c>
      <c r="T94" s="15"/>
      <c r="U94" s="15"/>
      <c r="V94" s="15"/>
      <c r="W94" s="15"/>
      <c r="X94" s="15"/>
      <c r="Y94" s="15"/>
      <c r="Z94" s="4"/>
      <c r="AA94" s="4"/>
    </row>
    <row r="95" spans="1:27" ht="14.25">
      <c r="A95" s="35">
        <f t="shared" si="5"/>
        <v>79</v>
      </c>
      <c r="B95" s="36" t="s">
        <v>544</v>
      </c>
      <c r="C95" s="15">
        <f t="shared" si="6"/>
        <v>4450347.8</v>
      </c>
      <c r="D95" s="15">
        <f t="shared" si="7"/>
        <v>4450347.8</v>
      </c>
      <c r="E95" s="15"/>
      <c r="F95" s="15"/>
      <c r="G95" s="15">
        <f t="shared" si="9"/>
        <v>4450348</v>
      </c>
      <c r="H95" s="15"/>
      <c r="I95" s="15">
        <f t="shared" si="8"/>
        <v>0</v>
      </c>
      <c r="J95" s="15">
        <f t="shared" si="8"/>
        <v>0</v>
      </c>
      <c r="K95" s="15">
        <f t="shared" si="8"/>
        <v>4450347.8</v>
      </c>
      <c r="L95" s="15"/>
      <c r="M95" s="15">
        <v>0</v>
      </c>
      <c r="N95" s="15">
        <v>0</v>
      </c>
      <c r="O95" s="15">
        <v>4450347.8</v>
      </c>
      <c r="P95" s="15"/>
      <c r="Q95" s="15">
        <v>0</v>
      </c>
      <c r="R95" s="15">
        <v>0</v>
      </c>
      <c r="S95" s="15">
        <v>4450347.8</v>
      </c>
      <c r="T95" s="15"/>
      <c r="U95" s="15"/>
      <c r="V95" s="15"/>
      <c r="W95" s="15"/>
      <c r="X95" s="15"/>
      <c r="Y95" s="15"/>
      <c r="Z95" s="4"/>
      <c r="AA95" s="4"/>
    </row>
    <row r="96" spans="1:27" ht="14.25">
      <c r="A96" s="35">
        <f t="shared" si="5"/>
        <v>80</v>
      </c>
      <c r="B96" s="15"/>
      <c r="C96" s="15"/>
      <c r="D96" s="15"/>
      <c r="E96" s="15"/>
      <c r="F96" s="15"/>
      <c r="G96" s="15">
        <f t="shared" si="9"/>
        <v>0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4"/>
      <c r="AA96" s="4"/>
    </row>
    <row r="97" spans="1:27" ht="14.25">
      <c r="A97" s="35">
        <f t="shared" si="5"/>
        <v>81</v>
      </c>
      <c r="B97" s="36" t="s">
        <v>32</v>
      </c>
      <c r="C97" s="15">
        <v>3851810.56</v>
      </c>
      <c r="D97" s="15">
        <v>10255317</v>
      </c>
      <c r="E97" s="15">
        <f aca="true" t="shared" si="10" ref="E97:F106">-C97</f>
        <v>-3851810.56</v>
      </c>
      <c r="F97" s="15">
        <f t="shared" si="10"/>
        <v>-10255317</v>
      </c>
      <c r="G97" s="15">
        <f t="shared" si="9"/>
        <v>0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4"/>
      <c r="AA97" s="4"/>
    </row>
    <row r="98" spans="1:27" ht="14.25">
      <c r="A98" s="35">
        <f t="shared" si="5"/>
        <v>82</v>
      </c>
      <c r="B98" s="15" t="s">
        <v>197</v>
      </c>
      <c r="C98" s="15">
        <v>67111038.44</v>
      </c>
      <c r="D98" s="15">
        <v>95773464.96</v>
      </c>
      <c r="E98" s="15">
        <f t="shared" si="10"/>
        <v>-67111038.44</v>
      </c>
      <c r="F98" s="15">
        <f t="shared" si="10"/>
        <v>-95773464.96</v>
      </c>
      <c r="G98" s="15">
        <f t="shared" si="9"/>
        <v>0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4"/>
      <c r="AA98" s="4"/>
    </row>
    <row r="99" spans="1:27" ht="14.25">
      <c r="A99" s="35">
        <f t="shared" si="5"/>
        <v>83</v>
      </c>
      <c r="B99" s="15" t="s">
        <v>198</v>
      </c>
      <c r="C99" s="15">
        <v>1016830.77</v>
      </c>
      <c r="D99" s="15">
        <v>1074111.76</v>
      </c>
      <c r="E99" s="15">
        <f t="shared" si="10"/>
        <v>-1016830.77</v>
      </c>
      <c r="F99" s="15">
        <f t="shared" si="10"/>
        <v>-1074111.76</v>
      </c>
      <c r="G99" s="15">
        <f t="shared" si="9"/>
        <v>0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4"/>
      <c r="AA99" s="4"/>
    </row>
    <row r="100" spans="1:27" ht="14.25">
      <c r="A100" s="35">
        <f t="shared" si="5"/>
        <v>84</v>
      </c>
      <c r="B100" s="15" t="s">
        <v>199</v>
      </c>
      <c r="C100" s="15">
        <v>0</v>
      </c>
      <c r="D100" s="15">
        <v>100330</v>
      </c>
      <c r="E100" s="15">
        <f t="shared" si="10"/>
        <v>0</v>
      </c>
      <c r="F100" s="15">
        <f t="shared" si="10"/>
        <v>-100330</v>
      </c>
      <c r="G100" s="15">
        <f t="shared" si="9"/>
        <v>0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4"/>
      <c r="AA100" s="4"/>
    </row>
    <row r="101" spans="1:27" ht="14.25">
      <c r="A101" s="35">
        <f t="shared" si="5"/>
        <v>85</v>
      </c>
      <c r="B101" s="20" t="s">
        <v>200</v>
      </c>
      <c r="C101" s="15">
        <v>0</v>
      </c>
      <c r="D101" s="15">
        <v>-9279592</v>
      </c>
      <c r="E101" s="15">
        <f t="shared" si="10"/>
        <v>0</v>
      </c>
      <c r="F101" s="15">
        <f t="shared" si="10"/>
        <v>9279592</v>
      </c>
      <c r="G101" s="15">
        <f t="shared" si="9"/>
        <v>0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4"/>
      <c r="AA101" s="4"/>
    </row>
    <row r="102" spans="1:27" ht="14.25">
      <c r="A102" s="35">
        <f t="shared" si="5"/>
        <v>86</v>
      </c>
      <c r="B102" s="20" t="s">
        <v>594</v>
      </c>
      <c r="C102" s="15">
        <v>0</v>
      </c>
      <c r="D102" s="15">
        <v>0</v>
      </c>
      <c r="E102" s="15">
        <f t="shared" si="10"/>
        <v>0</v>
      </c>
      <c r="F102" s="15">
        <f t="shared" si="10"/>
        <v>0</v>
      </c>
      <c r="G102" s="15">
        <f>ROUND(SUM(C102:F102)/2,0)</f>
        <v>0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4"/>
      <c r="AA102" s="4"/>
    </row>
    <row r="103" spans="1:27" ht="14.25">
      <c r="A103" s="35">
        <f t="shared" si="5"/>
        <v>87</v>
      </c>
      <c r="B103" s="20" t="s">
        <v>595</v>
      </c>
      <c r="C103" s="15">
        <v>-7406027.31</v>
      </c>
      <c r="D103" s="15">
        <v>0</v>
      </c>
      <c r="E103" s="15">
        <f t="shared" si="10"/>
        <v>7406027.31</v>
      </c>
      <c r="F103" s="15">
        <f t="shared" si="10"/>
        <v>0</v>
      </c>
      <c r="G103" s="15">
        <f>ROUND(SUM(C103:F103)/2,0)</f>
        <v>0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4"/>
      <c r="AA103" s="4"/>
    </row>
    <row r="104" spans="1:27" ht="14.25">
      <c r="A104" s="35">
        <f t="shared" si="5"/>
        <v>88</v>
      </c>
      <c r="B104" s="20" t="s">
        <v>596</v>
      </c>
      <c r="C104" s="15">
        <v>0</v>
      </c>
      <c r="D104" s="15">
        <v>0</v>
      </c>
      <c r="E104" s="15">
        <f t="shared" si="10"/>
        <v>0</v>
      </c>
      <c r="F104" s="15">
        <f t="shared" si="10"/>
        <v>0</v>
      </c>
      <c r="G104" s="15">
        <f>ROUND(SUM(C104:F104)/2,0)</f>
        <v>0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4"/>
      <c r="AA104" s="4"/>
    </row>
    <row r="105" spans="1:27" ht="14.25">
      <c r="A105" s="35">
        <f t="shared" si="5"/>
        <v>89</v>
      </c>
      <c r="B105" s="20" t="s">
        <v>201</v>
      </c>
      <c r="C105" s="15">
        <v>1849443.58</v>
      </c>
      <c r="D105" s="15">
        <v>2831948.03</v>
      </c>
      <c r="E105" s="15">
        <f t="shared" si="10"/>
        <v>-1849443.58</v>
      </c>
      <c r="F105" s="15">
        <f t="shared" si="10"/>
        <v>-2831948.03</v>
      </c>
      <c r="G105" s="15">
        <f t="shared" si="9"/>
        <v>0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4"/>
      <c r="AA105" s="4"/>
    </row>
    <row r="106" spans="1:27" ht="14.25">
      <c r="A106" s="35">
        <f t="shared" si="5"/>
        <v>90</v>
      </c>
      <c r="B106" s="20" t="s">
        <v>202</v>
      </c>
      <c r="C106" s="15">
        <v>72609.72</v>
      </c>
      <c r="D106" s="15">
        <v>76880.88</v>
      </c>
      <c r="E106" s="15">
        <f t="shared" si="10"/>
        <v>-72609.72</v>
      </c>
      <c r="F106" s="15">
        <f t="shared" si="10"/>
        <v>-76880.88</v>
      </c>
      <c r="G106" s="15">
        <f>ROUND(SUM(C106:F106)/2,0)</f>
        <v>0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4"/>
      <c r="AA106" s="4"/>
    </row>
    <row r="107" spans="1:27" ht="14.25">
      <c r="A107" s="35">
        <f t="shared" si="5"/>
        <v>91</v>
      </c>
      <c r="B107" s="20" t="s">
        <v>367</v>
      </c>
      <c r="C107" s="15">
        <v>0</v>
      </c>
      <c r="D107" s="15">
        <v>0</v>
      </c>
      <c r="E107" s="15">
        <f>-C107</f>
        <v>0</v>
      </c>
      <c r="F107" s="15">
        <f>-D107</f>
        <v>0</v>
      </c>
      <c r="G107" s="15">
        <f>ROUND(SUM(C107:F107)/2,0)</f>
        <v>0</v>
      </c>
      <c r="H107" s="15"/>
      <c r="I107" s="15">
        <f aca="true" t="shared" si="11" ref="I107:K108">(+M107+Q107)/2</f>
        <v>0</v>
      </c>
      <c r="J107" s="15">
        <f t="shared" si="11"/>
        <v>0</v>
      </c>
      <c r="K107" s="15">
        <f t="shared" si="11"/>
        <v>0</v>
      </c>
      <c r="L107" s="15"/>
      <c r="M107" s="15">
        <v>0</v>
      </c>
      <c r="N107" s="15">
        <v>0</v>
      </c>
      <c r="O107" s="15">
        <v>0</v>
      </c>
      <c r="P107" s="15"/>
      <c r="Q107" s="15">
        <v>0</v>
      </c>
      <c r="R107" s="15">
        <v>0</v>
      </c>
      <c r="S107" s="15">
        <v>0</v>
      </c>
      <c r="T107" s="15"/>
      <c r="U107" s="15"/>
      <c r="V107" s="15"/>
      <c r="W107" s="15"/>
      <c r="X107" s="15"/>
      <c r="Y107" s="15"/>
      <c r="Z107" s="4"/>
      <c r="AA107" s="4"/>
    </row>
    <row r="108" spans="1:27" ht="14.25">
      <c r="A108" s="35">
        <f t="shared" si="5"/>
        <v>92</v>
      </c>
      <c r="B108" s="20" t="s">
        <v>203</v>
      </c>
      <c r="C108" s="15">
        <f>SUM(M108:O108)</f>
        <v>15880252.01</v>
      </c>
      <c r="D108" s="15">
        <v>64239096</v>
      </c>
      <c r="E108" s="15"/>
      <c r="F108" s="15"/>
      <c r="G108" s="15">
        <f>ROUND(SUM(C108:F108)/2,0)</f>
        <v>40059674</v>
      </c>
      <c r="H108" s="15"/>
      <c r="I108" s="15">
        <f t="shared" si="11"/>
        <v>40059674.005</v>
      </c>
      <c r="J108" s="15">
        <f t="shared" si="11"/>
        <v>0</v>
      </c>
      <c r="K108" s="15">
        <f t="shared" si="11"/>
        <v>0</v>
      </c>
      <c r="L108" s="15"/>
      <c r="M108" s="15">
        <v>15880252.01</v>
      </c>
      <c r="N108" s="15">
        <v>0</v>
      </c>
      <c r="O108" s="15">
        <v>0</v>
      </c>
      <c r="P108" s="15"/>
      <c r="Q108" s="15">
        <v>64239096</v>
      </c>
      <c r="R108" s="15">
        <v>0</v>
      </c>
      <c r="S108" s="15">
        <v>0</v>
      </c>
      <c r="T108" s="15"/>
      <c r="U108" s="15"/>
      <c r="V108" s="15"/>
      <c r="W108" s="15"/>
      <c r="X108" s="15"/>
      <c r="Y108" s="15"/>
      <c r="Z108" s="4"/>
      <c r="AA108" s="4"/>
    </row>
    <row r="109" spans="1:27" ht="14.25">
      <c r="A109" s="35">
        <f t="shared" si="5"/>
        <v>93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4"/>
      <c r="AA109" s="4"/>
    </row>
    <row r="110" spans="1:27" ht="15" thickBot="1">
      <c r="A110" s="35">
        <f t="shared" si="5"/>
        <v>94</v>
      </c>
      <c r="B110" s="20" t="s">
        <v>204</v>
      </c>
      <c r="C110" s="18">
        <f>SUM(C17:C109)</f>
        <v>429804221.19</v>
      </c>
      <c r="D110" s="18">
        <f>SUM(D17:D109)</f>
        <v>529752450.71999997</v>
      </c>
      <c r="E110" s="18">
        <f>SUM(E17:E109)</f>
        <v>-66495705.75999999</v>
      </c>
      <c r="F110" s="18">
        <f>SUM(F17:F109)</f>
        <v>-100832460.63</v>
      </c>
      <c r="G110" s="18">
        <f>SUM(G17:G109)</f>
        <v>396114255</v>
      </c>
      <c r="H110" s="18"/>
      <c r="I110" s="18">
        <f>SUM(I17:I109)</f>
        <v>252159720.2</v>
      </c>
      <c r="J110" s="18">
        <f>SUM(J17:J109)</f>
        <v>50862690.605000004</v>
      </c>
      <c r="K110" s="18">
        <f>SUM(K17:K109)</f>
        <v>93091841.955</v>
      </c>
      <c r="L110" s="18"/>
      <c r="M110" s="18">
        <f>SUM(M17:M109)</f>
        <v>214012676.67</v>
      </c>
      <c r="N110" s="18">
        <f>SUM(N17:N109)</f>
        <v>51743691.62</v>
      </c>
      <c r="O110" s="18">
        <f>SUM(O17:O109)</f>
        <v>97552147.13999997</v>
      </c>
      <c r="P110" s="15"/>
      <c r="Q110" s="18">
        <f>SUM(Q17:Q109)</f>
        <v>290306763.72999996</v>
      </c>
      <c r="R110" s="18">
        <f>SUM(R17:R109)</f>
        <v>49981689.59</v>
      </c>
      <c r="S110" s="18">
        <f>SUM(S17:S109)</f>
        <v>88631536.77000001</v>
      </c>
      <c r="T110" s="15"/>
      <c r="U110" s="15"/>
      <c r="V110" s="15"/>
      <c r="W110" s="15"/>
      <c r="X110" s="15"/>
      <c r="Y110" s="15"/>
      <c r="Z110" s="4"/>
      <c r="AA110" s="4"/>
    </row>
    <row r="111" spans="1:27" ht="15" thickTop="1">
      <c r="A111" s="34"/>
      <c r="B111" s="15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5"/>
      <c r="Q111" s="19"/>
      <c r="R111" s="19"/>
      <c r="S111" s="19"/>
      <c r="T111" s="15"/>
      <c r="U111" s="15"/>
      <c r="V111" s="15"/>
      <c r="W111" s="15"/>
      <c r="X111" s="15"/>
      <c r="Y111" s="15"/>
      <c r="Z111" s="4"/>
      <c r="AA111" s="4"/>
    </row>
    <row r="112" spans="1:27" ht="14.25">
      <c r="A112" s="34"/>
      <c r="B112" s="15"/>
      <c r="C112" s="15"/>
      <c r="D112" s="15" t="s">
        <v>67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4"/>
      <c r="AA112" s="4"/>
    </row>
    <row r="113" spans="1:27" ht="14.25">
      <c r="A113" s="3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4"/>
      <c r="AA113" s="4"/>
    </row>
    <row r="114" spans="1:27" ht="14.25">
      <c r="A114" s="34"/>
      <c r="B114" s="15"/>
      <c r="C114" s="20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4"/>
      <c r="AA114" s="4"/>
    </row>
    <row r="115" spans="1:27" ht="14.25">
      <c r="A115" s="34"/>
      <c r="B115" s="15"/>
      <c r="C115" s="20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4"/>
      <c r="AA115" s="4"/>
    </row>
    <row r="116" spans="1:27" ht="14.25">
      <c r="A116" s="34"/>
      <c r="B116" s="15"/>
      <c r="C116" s="20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4"/>
      <c r="AA116" s="4"/>
    </row>
    <row r="117" spans="1:27" ht="14.25">
      <c r="A117" s="34"/>
      <c r="B117" s="15"/>
      <c r="C117" s="20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4"/>
      <c r="AA117" s="4"/>
    </row>
    <row r="118" spans="1:27" ht="14.25">
      <c r="A118" s="34"/>
      <c r="B118" s="15"/>
      <c r="C118" s="20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4"/>
      <c r="AA118" s="4"/>
    </row>
    <row r="119" spans="1:27" ht="14.25">
      <c r="A119" s="3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4"/>
      <c r="AA119" s="4"/>
    </row>
    <row r="120" spans="1:27" ht="14.25">
      <c r="A120" s="2"/>
      <c r="B120" s="15"/>
      <c r="C120" s="20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4"/>
      <c r="AA120" s="4"/>
    </row>
    <row r="121" spans="1:27" ht="14.25">
      <c r="A121" s="2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4"/>
      <c r="AA121" s="4"/>
    </row>
    <row r="122" spans="1:27" ht="14.25">
      <c r="A122" s="2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4"/>
      <c r="AA122" s="4"/>
    </row>
    <row r="123" spans="1:27" ht="14.25">
      <c r="A123" s="2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4"/>
      <c r="AA123" s="4"/>
    </row>
    <row r="124" spans="1:27" ht="14.25">
      <c r="A124" s="2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4"/>
      <c r="AA124" s="4"/>
    </row>
    <row r="125" spans="1:27" ht="14.25">
      <c r="A125" s="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4"/>
      <c r="AA125" s="4"/>
    </row>
    <row r="126" spans="1:27" ht="14.25">
      <c r="A126" s="2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4"/>
      <c r="AA126" s="4"/>
    </row>
    <row r="127" spans="1:27" ht="14.25">
      <c r="A127" s="2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4"/>
      <c r="AA127" s="4"/>
    </row>
    <row r="128" spans="1:27" ht="14.25">
      <c r="A128" s="2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4"/>
      <c r="AA128" s="4"/>
    </row>
    <row r="129" spans="1:27" ht="14.25">
      <c r="A129" s="2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4"/>
      <c r="AA129" s="4"/>
    </row>
    <row r="130" spans="1:27" ht="14.25">
      <c r="A130" s="2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4"/>
      <c r="AA130" s="4"/>
    </row>
    <row r="131" spans="1:27" ht="14.25">
      <c r="A131" s="2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4"/>
      <c r="AA131" s="4"/>
    </row>
    <row r="132" spans="1:27" ht="14.25">
      <c r="A132" s="2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4"/>
      <c r="AA132" s="4"/>
    </row>
    <row r="133" spans="1:27" ht="14.25">
      <c r="A133" s="2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4"/>
      <c r="AA133" s="4"/>
    </row>
    <row r="134" spans="1:27" ht="14.25">
      <c r="A134" s="2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4"/>
      <c r="AA134" s="4"/>
    </row>
    <row r="135" spans="1:27" ht="14.25">
      <c r="A135" s="2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4"/>
      <c r="AA135" s="4"/>
    </row>
    <row r="136" spans="1:27" ht="14.25">
      <c r="A136" s="2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4"/>
      <c r="AA136" s="4"/>
    </row>
    <row r="137" spans="1:27" ht="14.25">
      <c r="A137" s="2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4"/>
      <c r="AA137" s="4"/>
    </row>
    <row r="138" spans="1:27" ht="14.25">
      <c r="A138" s="2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4"/>
      <c r="AA138" s="4"/>
    </row>
    <row r="139" spans="1:27" ht="14.25">
      <c r="A139" s="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4"/>
      <c r="AA139" s="4"/>
    </row>
    <row r="140" spans="1:27" ht="14.25">
      <c r="A140" s="2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4"/>
      <c r="AA140" s="4"/>
    </row>
    <row r="141" spans="1:27" ht="14.25">
      <c r="A141" s="2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4"/>
      <c r="AA141" s="4"/>
    </row>
    <row r="142" spans="1:27" ht="14.25">
      <c r="A142" s="2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4"/>
      <c r="AA142" s="4"/>
    </row>
    <row r="143" spans="1:27" ht="14.25">
      <c r="A143" s="2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4"/>
      <c r="AA143" s="4"/>
    </row>
    <row r="144" spans="1:27" ht="14.25">
      <c r="A144" s="2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4"/>
      <c r="AA144" s="4"/>
    </row>
    <row r="145" spans="1:27" ht="14.25">
      <c r="A145" s="2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4"/>
      <c r="AA145" s="4"/>
    </row>
    <row r="146" spans="1:27" ht="14.25">
      <c r="A146" s="2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4"/>
      <c r="AA146" s="4"/>
    </row>
    <row r="147" spans="1:27" ht="14.25">
      <c r="A147" s="2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4"/>
      <c r="AA147" s="4"/>
    </row>
    <row r="148" spans="1:27" ht="14.25">
      <c r="A148" s="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4"/>
      <c r="AA148" s="4"/>
    </row>
    <row r="149" spans="1:27" ht="14.25">
      <c r="A149" s="2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4"/>
      <c r="AA149" s="4"/>
    </row>
    <row r="150" spans="1:27" ht="14.25">
      <c r="A150" s="2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4"/>
      <c r="AA150" s="4"/>
    </row>
    <row r="151" spans="1:27" ht="14.25">
      <c r="A151" s="2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4"/>
      <c r="AA151" s="4"/>
    </row>
    <row r="152" spans="1:27" ht="14.25">
      <c r="A152" s="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4"/>
      <c r="AA152" s="4"/>
    </row>
    <row r="153" spans="1:27" ht="14.25">
      <c r="A153" s="2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4"/>
      <c r="AA153" s="4"/>
    </row>
    <row r="154" spans="1:27" ht="14.25">
      <c r="A154" s="2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4"/>
      <c r="AA154" s="4"/>
    </row>
    <row r="155" spans="1:27" ht="14.25">
      <c r="A155" s="2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4"/>
      <c r="AA155" s="4"/>
    </row>
    <row r="156" spans="1:27" ht="14.25">
      <c r="A156" s="2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4"/>
      <c r="AA156" s="4"/>
    </row>
    <row r="157" spans="1:27" ht="14.25">
      <c r="A157" s="2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4"/>
      <c r="AA157" s="4"/>
    </row>
    <row r="158" spans="1:27" ht="14.25">
      <c r="A158" s="2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4"/>
      <c r="AA158" s="4"/>
    </row>
    <row r="159" spans="1:27" ht="14.25">
      <c r="A159" s="2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4"/>
      <c r="AA159" s="4"/>
    </row>
    <row r="160" spans="1:27" ht="14.25">
      <c r="A160" s="2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4"/>
      <c r="AA160" s="4"/>
    </row>
    <row r="161" spans="1:27" ht="14.25">
      <c r="A161" s="2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4"/>
      <c r="AA161" s="4"/>
    </row>
    <row r="162" spans="1:27" ht="14.25">
      <c r="A162" s="2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4"/>
      <c r="AA162" s="4"/>
    </row>
    <row r="163" spans="1:27" ht="14.25">
      <c r="A163" s="2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4"/>
      <c r="AA163" s="4"/>
    </row>
    <row r="164" spans="1:27" ht="14.25">
      <c r="A164" s="2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4"/>
      <c r="AA164" s="4"/>
    </row>
    <row r="165" spans="1:27" ht="14.25">
      <c r="A165" s="2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4"/>
      <c r="AA165" s="4"/>
    </row>
    <row r="166" spans="1:27" ht="14.25">
      <c r="A166" s="2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4"/>
      <c r="AA166" s="4"/>
    </row>
    <row r="167" spans="1:27" ht="14.25">
      <c r="A167" s="2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4"/>
      <c r="AA167" s="4"/>
    </row>
    <row r="168" spans="1:27" ht="14.25">
      <c r="A168" s="2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4"/>
      <c r="AA168" s="4"/>
    </row>
    <row r="169" spans="1:27" ht="14.25">
      <c r="A169" s="2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4"/>
      <c r="AA169" s="4"/>
    </row>
    <row r="170" spans="1:27" ht="14.25">
      <c r="A170" s="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4"/>
      <c r="AA170" s="4"/>
    </row>
    <row r="171" spans="1:27" ht="14.25">
      <c r="A171" s="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4"/>
      <c r="AA171" s="4"/>
    </row>
    <row r="172" spans="1:27" ht="14.25">
      <c r="A172" s="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4"/>
      <c r="AA172" s="4"/>
    </row>
    <row r="173" spans="1:27" ht="14.25">
      <c r="A173" s="2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4"/>
      <c r="AA173" s="4"/>
    </row>
    <row r="174" spans="1:27" ht="14.25">
      <c r="A174" s="2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4"/>
      <c r="AA174" s="4"/>
    </row>
    <row r="175" spans="1:27" ht="14.25">
      <c r="A175" s="2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4"/>
      <c r="AA175" s="4"/>
    </row>
    <row r="176" spans="1:27" ht="14.25">
      <c r="A176" s="2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4"/>
      <c r="AA176" s="4"/>
    </row>
    <row r="177" spans="1:27" ht="14.25">
      <c r="A177" s="2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4"/>
      <c r="AA177" s="4"/>
    </row>
    <row r="178" spans="1:27" ht="14.25">
      <c r="A178" s="2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4"/>
      <c r="AA178" s="4"/>
    </row>
    <row r="179" spans="1:27" ht="14.25">
      <c r="A179" s="2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4"/>
      <c r="AA179" s="4"/>
    </row>
    <row r="180" spans="1:27" ht="14.25">
      <c r="A180" s="2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4"/>
      <c r="AA180" s="4"/>
    </row>
    <row r="181" spans="1:27" ht="14.25">
      <c r="A181" s="2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4"/>
      <c r="AA181" s="4"/>
    </row>
    <row r="182" spans="1:27" ht="14.25">
      <c r="A182" s="2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4"/>
      <c r="AA182" s="4"/>
    </row>
    <row r="183" spans="1:27" ht="14.25">
      <c r="A183" s="2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4"/>
      <c r="AA183" s="4"/>
    </row>
    <row r="184" spans="1:27" ht="14.25">
      <c r="A184" s="2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4"/>
      <c r="AA184" s="4"/>
    </row>
    <row r="185" spans="1:27" ht="14.25">
      <c r="A185" s="2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4"/>
      <c r="AA185" s="4"/>
    </row>
    <row r="186" spans="1:27" ht="14.25">
      <c r="A186" s="2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4"/>
      <c r="AA186" s="4"/>
    </row>
    <row r="187" spans="1:27" ht="14.25">
      <c r="A187" s="2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4"/>
      <c r="AA187" s="4"/>
    </row>
    <row r="188" spans="1:27" ht="14.25">
      <c r="A188" s="2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4"/>
      <c r="AA188" s="4"/>
    </row>
    <row r="189" spans="1:27" ht="14.25">
      <c r="A189" s="2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4"/>
      <c r="AA189" s="4"/>
    </row>
    <row r="190" spans="1:27" ht="14.25">
      <c r="A190" s="2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4"/>
      <c r="AA190" s="4"/>
    </row>
    <row r="191" spans="1:27" ht="14.25">
      <c r="A191" s="2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4"/>
      <c r="AA191" s="4"/>
    </row>
    <row r="192" spans="1:27" ht="14.25">
      <c r="A192" s="2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4"/>
      <c r="AA192" s="4"/>
    </row>
    <row r="193" spans="1:27" ht="14.25">
      <c r="A193" s="2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4"/>
      <c r="AA193" s="4"/>
    </row>
    <row r="194" spans="1:27" ht="14.25">
      <c r="A194" s="2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4"/>
      <c r="AA194" s="4"/>
    </row>
    <row r="195" spans="1:27" ht="14.25">
      <c r="A195" s="2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4"/>
      <c r="AA195" s="4"/>
    </row>
    <row r="196" spans="1:27" ht="14.25">
      <c r="A196" s="2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4"/>
      <c r="AA196" s="4"/>
    </row>
    <row r="197" spans="1:27" ht="14.25">
      <c r="A197" s="2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4"/>
      <c r="AA197" s="4"/>
    </row>
    <row r="198" spans="1:27" ht="14.25">
      <c r="A198" s="2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4"/>
      <c r="AA198" s="4"/>
    </row>
    <row r="199" spans="1:27" ht="14.25">
      <c r="A199" s="2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4"/>
      <c r="AA199" s="4"/>
    </row>
    <row r="200" spans="1:27" ht="14.25">
      <c r="A200" s="2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4"/>
      <c r="AA200" s="4"/>
    </row>
    <row r="201" spans="1:27" ht="14.25">
      <c r="A201" s="2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4"/>
      <c r="AA201" s="4"/>
    </row>
    <row r="202" spans="1:27" ht="14.25">
      <c r="A202" s="2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4"/>
      <c r="AA202" s="4"/>
    </row>
    <row r="203" spans="1:27" ht="14.25">
      <c r="A203" s="2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4"/>
      <c r="AA203" s="4"/>
    </row>
    <row r="204" spans="1:27" ht="14.25">
      <c r="A204" s="2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4"/>
      <c r="AA204" s="4"/>
    </row>
    <row r="205" spans="1:27" ht="14.25">
      <c r="A205" s="2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4"/>
      <c r="AA205" s="4"/>
    </row>
    <row r="206" spans="1:27" ht="14.25">
      <c r="A206" s="2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4"/>
      <c r="AA206" s="4"/>
    </row>
    <row r="207" spans="1:27" ht="14.25">
      <c r="A207" s="2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4"/>
      <c r="AA207" s="4"/>
    </row>
    <row r="208" spans="1:27" ht="14.25">
      <c r="A208" s="2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4"/>
      <c r="AA208" s="4"/>
    </row>
    <row r="209" spans="1:27" ht="14.25">
      <c r="A209" s="2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4"/>
      <c r="AA209" s="4"/>
    </row>
    <row r="210" spans="1:27" ht="14.25">
      <c r="A210" s="2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4"/>
      <c r="AA210" s="4"/>
    </row>
    <row r="211" spans="1:27" ht="14.25">
      <c r="A211" s="2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4"/>
      <c r="AA211" s="4"/>
    </row>
    <row r="212" spans="1:27" ht="14.25">
      <c r="A212" s="2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4"/>
      <c r="AA212" s="4"/>
    </row>
    <row r="213" spans="1:27" ht="14.25">
      <c r="A213" s="2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4"/>
      <c r="AA213" s="4"/>
    </row>
    <row r="214" spans="1:27" ht="14.25">
      <c r="A214" s="2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4"/>
      <c r="AA214" s="4"/>
    </row>
    <row r="215" spans="1:27" ht="14.25">
      <c r="A215" s="2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4"/>
      <c r="AA215" s="4"/>
    </row>
    <row r="216" spans="1:27" ht="14.25">
      <c r="A216" s="2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4"/>
      <c r="AA216" s="4"/>
    </row>
    <row r="217" spans="1:27" ht="14.25">
      <c r="A217" s="2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4"/>
      <c r="AA217" s="4"/>
    </row>
    <row r="218" spans="1:27" ht="14.25">
      <c r="A218" s="2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4"/>
      <c r="AA218" s="4"/>
    </row>
    <row r="219" spans="1:27" ht="14.25">
      <c r="A219" s="2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4"/>
      <c r="AA219" s="4"/>
    </row>
    <row r="220" spans="1:27" ht="14.25">
      <c r="A220" s="2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4"/>
      <c r="AA220" s="4"/>
    </row>
    <row r="221" spans="1:27" ht="14.25">
      <c r="A221" s="2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4"/>
      <c r="AA221" s="4"/>
    </row>
    <row r="222" spans="1:27" ht="14.25">
      <c r="A222" s="2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4"/>
      <c r="AA222" s="4"/>
    </row>
    <row r="223" spans="1:27" ht="14.25">
      <c r="A223" s="2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4"/>
      <c r="AA223" s="4"/>
    </row>
    <row r="224" spans="1:27" ht="14.25">
      <c r="A224" s="2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4"/>
      <c r="AA224" s="4"/>
    </row>
    <row r="225" spans="1:27" ht="14.25">
      <c r="A225" s="2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4"/>
      <c r="AA225" s="4"/>
    </row>
    <row r="226" spans="1:27" ht="14.25">
      <c r="A226" s="2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4"/>
      <c r="AA226" s="4"/>
    </row>
    <row r="227" spans="1:27" ht="14.25">
      <c r="A227" s="2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4"/>
      <c r="AA227" s="4"/>
    </row>
    <row r="228" spans="1:27" ht="14.25">
      <c r="A228" s="2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4"/>
      <c r="AA228" s="4"/>
    </row>
    <row r="229" spans="1:27" ht="14.25">
      <c r="A229" s="2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4"/>
      <c r="AA229" s="4"/>
    </row>
    <row r="230" spans="1:27" ht="14.25">
      <c r="A230" s="2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4"/>
      <c r="AA230" s="4"/>
    </row>
    <row r="231" spans="1:27" ht="14.25">
      <c r="A231" s="2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4"/>
      <c r="AA231" s="4"/>
    </row>
    <row r="232" spans="1:27" ht="14.25">
      <c r="A232" s="2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4"/>
      <c r="AA232" s="4"/>
    </row>
    <row r="233" spans="1:27" ht="14.25">
      <c r="A233" s="2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4"/>
      <c r="AA233" s="4"/>
    </row>
    <row r="234" spans="2:25" ht="14.25">
      <c r="B234" s="15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15"/>
      <c r="N234" s="15"/>
      <c r="O234" s="15"/>
      <c r="P234" s="15"/>
      <c r="Q234" s="15"/>
      <c r="R234" s="15"/>
      <c r="S234" s="15"/>
      <c r="T234" s="67"/>
      <c r="U234" s="67"/>
      <c r="V234" s="67"/>
      <c r="W234" s="67"/>
      <c r="X234" s="67"/>
      <c r="Y234" s="67"/>
    </row>
    <row r="235" spans="2:25" ht="14.25">
      <c r="B235" s="15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15"/>
      <c r="N235" s="15"/>
      <c r="O235" s="15"/>
      <c r="P235" s="15"/>
      <c r="Q235" s="15"/>
      <c r="R235" s="15"/>
      <c r="S235" s="15"/>
      <c r="T235" s="67"/>
      <c r="U235" s="67"/>
      <c r="V235" s="67"/>
      <c r="W235" s="67"/>
      <c r="X235" s="67"/>
      <c r="Y235" s="67"/>
    </row>
    <row r="236" spans="2:25" ht="14.25">
      <c r="B236" s="15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15"/>
      <c r="N236" s="15"/>
      <c r="O236" s="15"/>
      <c r="P236" s="15"/>
      <c r="Q236" s="15"/>
      <c r="R236" s="15"/>
      <c r="S236" s="15"/>
      <c r="T236" s="67"/>
      <c r="U236" s="67"/>
      <c r="V236" s="67"/>
      <c r="W236" s="67"/>
      <c r="X236" s="67"/>
      <c r="Y236" s="67"/>
    </row>
    <row r="237" spans="2:25" ht="14.25">
      <c r="B237" s="15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15"/>
      <c r="N237" s="15"/>
      <c r="O237" s="15"/>
      <c r="P237" s="15"/>
      <c r="Q237" s="15"/>
      <c r="R237" s="15"/>
      <c r="S237" s="15"/>
      <c r="T237" s="67"/>
      <c r="U237" s="67"/>
      <c r="V237" s="67"/>
      <c r="W237" s="67"/>
      <c r="X237" s="67"/>
      <c r="Y237" s="67"/>
    </row>
    <row r="238" spans="2:25" ht="14.25">
      <c r="B238" s="15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15"/>
      <c r="N238" s="15"/>
      <c r="O238" s="15"/>
      <c r="P238" s="15"/>
      <c r="Q238" s="15"/>
      <c r="R238" s="15"/>
      <c r="S238" s="15"/>
      <c r="T238" s="67"/>
      <c r="U238" s="67"/>
      <c r="V238" s="67"/>
      <c r="W238" s="67"/>
      <c r="X238" s="67"/>
      <c r="Y238" s="67"/>
    </row>
    <row r="239" spans="2:25" ht="14.25">
      <c r="B239" s="15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15"/>
      <c r="N239" s="15"/>
      <c r="O239" s="15"/>
      <c r="P239" s="15"/>
      <c r="Q239" s="15"/>
      <c r="R239" s="15"/>
      <c r="S239" s="15"/>
      <c r="T239" s="67"/>
      <c r="U239" s="67"/>
      <c r="V239" s="67"/>
      <c r="W239" s="67"/>
      <c r="X239" s="67"/>
      <c r="Y239" s="67"/>
    </row>
    <row r="240" spans="2:25" ht="14.25">
      <c r="B240" s="15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15"/>
      <c r="N240" s="15"/>
      <c r="O240" s="15"/>
      <c r="P240" s="15"/>
      <c r="Q240" s="15"/>
      <c r="R240" s="15"/>
      <c r="S240" s="15"/>
      <c r="T240" s="67"/>
      <c r="U240" s="67"/>
      <c r="V240" s="67"/>
      <c r="W240" s="67"/>
      <c r="X240" s="67"/>
      <c r="Y240" s="67"/>
    </row>
    <row r="241" spans="2:25" ht="14.25">
      <c r="B241" s="15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15"/>
      <c r="N241" s="15"/>
      <c r="O241" s="15"/>
      <c r="P241" s="15"/>
      <c r="Q241" s="15"/>
      <c r="R241" s="15"/>
      <c r="S241" s="15"/>
      <c r="T241" s="67"/>
      <c r="U241" s="67"/>
      <c r="V241" s="67"/>
      <c r="W241" s="67"/>
      <c r="X241" s="67"/>
      <c r="Y241" s="67"/>
    </row>
    <row r="242" spans="2:25" ht="14.25">
      <c r="B242" s="15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15"/>
      <c r="N242" s="15"/>
      <c r="O242" s="15"/>
      <c r="P242" s="15"/>
      <c r="Q242" s="15"/>
      <c r="R242" s="15"/>
      <c r="S242" s="15"/>
      <c r="T242" s="67"/>
      <c r="U242" s="67"/>
      <c r="V242" s="67"/>
      <c r="W242" s="67"/>
      <c r="X242" s="67"/>
      <c r="Y242" s="67"/>
    </row>
    <row r="243" spans="2:25" ht="14.25">
      <c r="B243" s="15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15"/>
      <c r="N243" s="15"/>
      <c r="O243" s="15"/>
      <c r="P243" s="15"/>
      <c r="Q243" s="15"/>
      <c r="R243" s="15"/>
      <c r="S243" s="15"/>
      <c r="T243" s="67"/>
      <c r="U243" s="67"/>
      <c r="V243" s="67"/>
      <c r="W243" s="67"/>
      <c r="X243" s="67"/>
      <c r="Y243" s="67"/>
    </row>
    <row r="244" spans="2:25" ht="14.25">
      <c r="B244" s="15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15"/>
      <c r="N244" s="15"/>
      <c r="O244" s="15"/>
      <c r="P244" s="15"/>
      <c r="Q244" s="15"/>
      <c r="R244" s="15"/>
      <c r="S244" s="15"/>
      <c r="T244" s="67"/>
      <c r="U244" s="67"/>
      <c r="V244" s="67"/>
      <c r="W244" s="67"/>
      <c r="X244" s="67"/>
      <c r="Y244" s="67"/>
    </row>
    <row r="245" spans="2:25" ht="14.25">
      <c r="B245" s="15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15"/>
      <c r="N245" s="15"/>
      <c r="O245" s="15"/>
      <c r="P245" s="15"/>
      <c r="Q245" s="15"/>
      <c r="R245" s="15"/>
      <c r="S245" s="15"/>
      <c r="T245" s="67"/>
      <c r="U245" s="67"/>
      <c r="V245" s="67"/>
      <c r="W245" s="67"/>
      <c r="X245" s="67"/>
      <c r="Y245" s="67"/>
    </row>
    <row r="246" spans="2:25" ht="14.25">
      <c r="B246" s="15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15"/>
      <c r="N246" s="15"/>
      <c r="O246" s="15"/>
      <c r="P246" s="15"/>
      <c r="Q246" s="15"/>
      <c r="R246" s="15"/>
      <c r="S246" s="15"/>
      <c r="T246" s="67"/>
      <c r="U246" s="67"/>
      <c r="V246" s="67"/>
      <c r="W246" s="67"/>
      <c r="X246" s="67"/>
      <c r="Y246" s="67"/>
    </row>
    <row r="247" spans="2:25" ht="14.25">
      <c r="B247" s="15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15"/>
      <c r="N247" s="15"/>
      <c r="O247" s="15"/>
      <c r="P247" s="15"/>
      <c r="Q247" s="15"/>
      <c r="R247" s="15"/>
      <c r="S247" s="15"/>
      <c r="T247" s="67"/>
      <c r="U247" s="67"/>
      <c r="V247" s="67"/>
      <c r="W247" s="67"/>
      <c r="X247" s="67"/>
      <c r="Y247" s="67"/>
    </row>
    <row r="248" spans="2:25" ht="14.25">
      <c r="B248" s="15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15"/>
      <c r="N248" s="15"/>
      <c r="O248" s="15"/>
      <c r="P248" s="15"/>
      <c r="Q248" s="15"/>
      <c r="R248" s="15"/>
      <c r="S248" s="15"/>
      <c r="T248" s="67"/>
      <c r="U248" s="67"/>
      <c r="V248" s="67"/>
      <c r="W248" s="67"/>
      <c r="X248" s="67"/>
      <c r="Y248" s="67"/>
    </row>
    <row r="249" spans="2:25" ht="14.25">
      <c r="B249" s="15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15"/>
      <c r="N249" s="15"/>
      <c r="O249" s="15"/>
      <c r="P249" s="15"/>
      <c r="Q249" s="15"/>
      <c r="R249" s="15"/>
      <c r="S249" s="15"/>
      <c r="T249" s="67"/>
      <c r="U249" s="67"/>
      <c r="V249" s="67"/>
      <c r="W249" s="67"/>
      <c r="X249" s="67"/>
      <c r="Y249" s="67"/>
    </row>
    <row r="250" spans="2:25" ht="14.25">
      <c r="B250" s="15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15"/>
      <c r="N250" s="15"/>
      <c r="O250" s="15"/>
      <c r="P250" s="15"/>
      <c r="Q250" s="15"/>
      <c r="R250" s="15"/>
      <c r="S250" s="15"/>
      <c r="T250" s="67"/>
      <c r="U250" s="67"/>
      <c r="V250" s="67"/>
      <c r="W250" s="67"/>
      <c r="X250" s="67"/>
      <c r="Y250" s="67"/>
    </row>
    <row r="251" spans="2:25" ht="14.25">
      <c r="B251" s="15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15"/>
      <c r="N251" s="15"/>
      <c r="O251" s="15"/>
      <c r="P251" s="15"/>
      <c r="Q251" s="15"/>
      <c r="R251" s="15"/>
      <c r="S251" s="15"/>
      <c r="T251" s="67"/>
      <c r="U251" s="67"/>
      <c r="V251" s="67"/>
      <c r="W251" s="67"/>
      <c r="X251" s="67"/>
      <c r="Y251" s="67"/>
    </row>
    <row r="252" spans="2:25" ht="14.25">
      <c r="B252" s="15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15"/>
      <c r="N252" s="15"/>
      <c r="O252" s="15"/>
      <c r="P252" s="15"/>
      <c r="Q252" s="15"/>
      <c r="R252" s="15"/>
      <c r="S252" s="15"/>
      <c r="T252" s="67"/>
      <c r="U252" s="67"/>
      <c r="V252" s="67"/>
      <c r="W252" s="67"/>
      <c r="X252" s="67"/>
      <c r="Y252" s="67"/>
    </row>
    <row r="253" spans="2:25" ht="14.25">
      <c r="B253" s="15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15"/>
      <c r="N253" s="15"/>
      <c r="O253" s="15"/>
      <c r="P253" s="15"/>
      <c r="Q253" s="15"/>
      <c r="R253" s="15"/>
      <c r="S253" s="15"/>
      <c r="T253" s="67"/>
      <c r="U253" s="67"/>
      <c r="V253" s="67"/>
      <c r="W253" s="67"/>
      <c r="X253" s="67"/>
      <c r="Y253" s="67"/>
    </row>
    <row r="254" spans="2:25" ht="14.25">
      <c r="B254" s="15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15"/>
      <c r="N254" s="15"/>
      <c r="O254" s="15"/>
      <c r="P254" s="15"/>
      <c r="Q254" s="15"/>
      <c r="R254" s="15"/>
      <c r="S254" s="15"/>
      <c r="T254" s="67"/>
      <c r="U254" s="67"/>
      <c r="V254" s="67"/>
      <c r="W254" s="67"/>
      <c r="X254" s="67"/>
      <c r="Y254" s="67"/>
    </row>
    <row r="255" spans="2:25" ht="14.25">
      <c r="B255" s="15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15"/>
      <c r="N255" s="15"/>
      <c r="O255" s="15"/>
      <c r="P255" s="15"/>
      <c r="Q255" s="15"/>
      <c r="R255" s="15"/>
      <c r="S255" s="15"/>
      <c r="T255" s="67"/>
      <c r="U255" s="67"/>
      <c r="V255" s="67"/>
      <c r="W255" s="67"/>
      <c r="X255" s="67"/>
      <c r="Y255" s="67"/>
    </row>
    <row r="256" spans="2:25" ht="14.25">
      <c r="B256" s="15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15"/>
      <c r="N256" s="15"/>
      <c r="O256" s="15"/>
      <c r="P256" s="15"/>
      <c r="Q256" s="15"/>
      <c r="R256" s="15"/>
      <c r="S256" s="15"/>
      <c r="T256" s="67"/>
      <c r="U256" s="67"/>
      <c r="V256" s="67"/>
      <c r="W256" s="67"/>
      <c r="X256" s="67"/>
      <c r="Y256" s="67"/>
    </row>
    <row r="257" spans="2:25" ht="14.25">
      <c r="B257" s="15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15"/>
      <c r="N257" s="15"/>
      <c r="O257" s="15"/>
      <c r="P257" s="15"/>
      <c r="Q257" s="15"/>
      <c r="R257" s="15"/>
      <c r="S257" s="15"/>
      <c r="T257" s="67"/>
      <c r="U257" s="67"/>
      <c r="V257" s="67"/>
      <c r="W257" s="67"/>
      <c r="X257" s="67"/>
      <c r="Y257" s="67"/>
    </row>
    <row r="258" spans="2:25" ht="14.25">
      <c r="B258" s="15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15"/>
      <c r="N258" s="15"/>
      <c r="O258" s="15"/>
      <c r="P258" s="15"/>
      <c r="Q258" s="15"/>
      <c r="R258" s="15"/>
      <c r="S258" s="15"/>
      <c r="T258" s="67"/>
      <c r="U258" s="67"/>
      <c r="V258" s="67"/>
      <c r="W258" s="67"/>
      <c r="X258" s="67"/>
      <c r="Y258" s="67"/>
    </row>
    <row r="259" spans="2:25" ht="14.25">
      <c r="B259" s="15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15"/>
      <c r="N259" s="15"/>
      <c r="O259" s="15"/>
      <c r="P259" s="15"/>
      <c r="Q259" s="15"/>
      <c r="R259" s="15"/>
      <c r="S259" s="15"/>
      <c r="T259" s="67"/>
      <c r="U259" s="67"/>
      <c r="V259" s="67"/>
      <c r="W259" s="67"/>
      <c r="X259" s="67"/>
      <c r="Y259" s="67"/>
    </row>
    <row r="260" spans="2:25" ht="14.25">
      <c r="B260" s="15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15"/>
      <c r="N260" s="15"/>
      <c r="O260" s="15"/>
      <c r="P260" s="15"/>
      <c r="Q260" s="15"/>
      <c r="R260" s="15"/>
      <c r="S260" s="15"/>
      <c r="T260" s="67"/>
      <c r="U260" s="67"/>
      <c r="V260" s="67"/>
      <c r="W260" s="67"/>
      <c r="X260" s="67"/>
      <c r="Y260" s="67"/>
    </row>
    <row r="261" spans="2:25" ht="14.25">
      <c r="B261" s="15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15"/>
      <c r="N261" s="15"/>
      <c r="O261" s="15"/>
      <c r="P261" s="15"/>
      <c r="Q261" s="15"/>
      <c r="R261" s="15"/>
      <c r="S261" s="15"/>
      <c r="T261" s="67"/>
      <c r="U261" s="67"/>
      <c r="V261" s="67"/>
      <c r="W261" s="67"/>
      <c r="X261" s="67"/>
      <c r="Y261" s="67"/>
    </row>
    <row r="262" spans="2:25" ht="14.25">
      <c r="B262" s="15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15"/>
      <c r="N262" s="15"/>
      <c r="O262" s="15"/>
      <c r="P262" s="15"/>
      <c r="Q262" s="15"/>
      <c r="R262" s="15"/>
      <c r="S262" s="15"/>
      <c r="T262" s="67"/>
      <c r="U262" s="67"/>
      <c r="V262" s="67"/>
      <c r="W262" s="67"/>
      <c r="X262" s="67"/>
      <c r="Y262" s="67"/>
    </row>
    <row r="263" spans="2:25" ht="14.25">
      <c r="B263" s="1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15"/>
      <c r="N263" s="15"/>
      <c r="O263" s="15"/>
      <c r="P263" s="15"/>
      <c r="Q263" s="15"/>
      <c r="R263" s="15"/>
      <c r="S263" s="15"/>
      <c r="T263" s="67"/>
      <c r="U263" s="67"/>
      <c r="V263" s="67"/>
      <c r="W263" s="67"/>
      <c r="X263" s="67"/>
      <c r="Y263" s="67"/>
    </row>
    <row r="264" spans="2:25" ht="14.25">
      <c r="B264" s="15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15"/>
      <c r="N264" s="15"/>
      <c r="O264" s="15"/>
      <c r="P264" s="15"/>
      <c r="Q264" s="15"/>
      <c r="R264" s="15"/>
      <c r="S264" s="15"/>
      <c r="T264" s="67"/>
      <c r="U264" s="67"/>
      <c r="V264" s="67"/>
      <c r="W264" s="67"/>
      <c r="X264" s="67"/>
      <c r="Y264" s="67"/>
    </row>
    <row r="265" spans="2:25" ht="14.25">
      <c r="B265" s="15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15"/>
      <c r="N265" s="15"/>
      <c r="O265" s="15"/>
      <c r="P265" s="15"/>
      <c r="Q265" s="15"/>
      <c r="R265" s="15"/>
      <c r="S265" s="15"/>
      <c r="T265" s="67"/>
      <c r="U265" s="67"/>
      <c r="V265" s="67"/>
      <c r="W265" s="67"/>
      <c r="X265" s="67"/>
      <c r="Y265" s="67"/>
    </row>
    <row r="266" spans="2:25" ht="14.25">
      <c r="B266" s="15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15"/>
      <c r="N266" s="15"/>
      <c r="O266" s="15"/>
      <c r="P266" s="15"/>
      <c r="Q266" s="15"/>
      <c r="R266" s="15"/>
      <c r="S266" s="15"/>
      <c r="T266" s="67"/>
      <c r="U266" s="67"/>
      <c r="V266" s="67"/>
      <c r="W266" s="67"/>
      <c r="X266" s="67"/>
      <c r="Y266" s="67"/>
    </row>
    <row r="267" spans="2:25" ht="14.25">
      <c r="B267" s="15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15"/>
      <c r="N267" s="15"/>
      <c r="O267" s="15"/>
      <c r="P267" s="15"/>
      <c r="Q267" s="15"/>
      <c r="R267" s="15"/>
      <c r="S267" s="15"/>
      <c r="T267" s="67"/>
      <c r="U267" s="67"/>
      <c r="V267" s="67"/>
      <c r="W267" s="67"/>
      <c r="X267" s="67"/>
      <c r="Y267" s="67"/>
    </row>
    <row r="268" spans="2:25" ht="14.25">
      <c r="B268" s="15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15"/>
      <c r="N268" s="15"/>
      <c r="O268" s="15"/>
      <c r="P268" s="15"/>
      <c r="Q268" s="15"/>
      <c r="R268" s="15"/>
      <c r="S268" s="15"/>
      <c r="T268" s="67"/>
      <c r="U268" s="67"/>
      <c r="V268" s="67"/>
      <c r="W268" s="67"/>
      <c r="X268" s="67"/>
      <c r="Y268" s="67"/>
    </row>
    <row r="269" spans="2:25" ht="14.25">
      <c r="B269" s="15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15"/>
      <c r="N269" s="15"/>
      <c r="O269" s="15"/>
      <c r="P269" s="15"/>
      <c r="Q269" s="15"/>
      <c r="R269" s="15"/>
      <c r="S269" s="15"/>
      <c r="T269" s="67"/>
      <c r="U269" s="67"/>
      <c r="V269" s="67"/>
      <c r="W269" s="67"/>
      <c r="X269" s="67"/>
      <c r="Y269" s="67"/>
    </row>
    <row r="270" spans="2:25" ht="14.25">
      <c r="B270" s="15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15"/>
      <c r="N270" s="15"/>
      <c r="O270" s="15"/>
      <c r="P270" s="15"/>
      <c r="Q270" s="15"/>
      <c r="R270" s="15"/>
      <c r="S270" s="15"/>
      <c r="T270" s="67"/>
      <c r="U270" s="67"/>
      <c r="V270" s="67"/>
      <c r="W270" s="67"/>
      <c r="X270" s="67"/>
      <c r="Y270" s="67"/>
    </row>
    <row r="271" spans="2:25" ht="14.25">
      <c r="B271" s="15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15"/>
      <c r="N271" s="15"/>
      <c r="O271" s="15"/>
      <c r="P271" s="15"/>
      <c r="Q271" s="15"/>
      <c r="R271" s="15"/>
      <c r="S271" s="15"/>
      <c r="T271" s="67"/>
      <c r="U271" s="67"/>
      <c r="V271" s="67"/>
      <c r="W271" s="67"/>
      <c r="X271" s="67"/>
      <c r="Y271" s="67"/>
    </row>
    <row r="272" spans="2:25" ht="14.25">
      <c r="B272" s="15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15"/>
      <c r="N272" s="15"/>
      <c r="O272" s="15"/>
      <c r="P272" s="15"/>
      <c r="Q272" s="15"/>
      <c r="R272" s="15"/>
      <c r="S272" s="15"/>
      <c r="T272" s="67"/>
      <c r="U272" s="67"/>
      <c r="V272" s="67"/>
      <c r="W272" s="67"/>
      <c r="X272" s="67"/>
      <c r="Y272" s="67"/>
    </row>
    <row r="273" spans="2:25" ht="14.25">
      <c r="B273" s="15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15"/>
      <c r="N273" s="15"/>
      <c r="O273" s="15"/>
      <c r="P273" s="15"/>
      <c r="Q273" s="15"/>
      <c r="R273" s="15"/>
      <c r="S273" s="15"/>
      <c r="T273" s="67"/>
      <c r="U273" s="67"/>
      <c r="V273" s="67"/>
      <c r="W273" s="67"/>
      <c r="X273" s="67"/>
      <c r="Y273" s="67"/>
    </row>
    <row r="274" spans="2:25" ht="14.25">
      <c r="B274" s="15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15"/>
      <c r="N274" s="15"/>
      <c r="O274" s="15"/>
      <c r="P274" s="15"/>
      <c r="Q274" s="15"/>
      <c r="R274" s="15"/>
      <c r="S274" s="15"/>
      <c r="T274" s="67"/>
      <c r="U274" s="67"/>
      <c r="V274" s="67"/>
      <c r="W274" s="67"/>
      <c r="X274" s="67"/>
      <c r="Y274" s="67"/>
    </row>
    <row r="275" spans="2:25" ht="14.25">
      <c r="B275" s="15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15"/>
      <c r="N275" s="15"/>
      <c r="O275" s="15"/>
      <c r="P275" s="15"/>
      <c r="Q275" s="15"/>
      <c r="R275" s="15"/>
      <c r="S275" s="15"/>
      <c r="T275" s="67"/>
      <c r="U275" s="67"/>
      <c r="V275" s="67"/>
      <c r="W275" s="67"/>
      <c r="X275" s="67"/>
      <c r="Y275" s="67"/>
    </row>
    <row r="276" spans="2:25" ht="14.25">
      <c r="B276" s="15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15"/>
      <c r="N276" s="15"/>
      <c r="O276" s="15"/>
      <c r="P276" s="15"/>
      <c r="Q276" s="15"/>
      <c r="R276" s="15"/>
      <c r="S276" s="15"/>
      <c r="T276" s="67"/>
      <c r="U276" s="67"/>
      <c r="V276" s="67"/>
      <c r="W276" s="67"/>
      <c r="X276" s="67"/>
      <c r="Y276" s="67"/>
    </row>
    <row r="277" spans="2:25" ht="14.25">
      <c r="B277" s="15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15"/>
      <c r="N277" s="15"/>
      <c r="O277" s="15"/>
      <c r="P277" s="15"/>
      <c r="Q277" s="15"/>
      <c r="R277" s="15"/>
      <c r="S277" s="15"/>
      <c r="T277" s="67"/>
      <c r="U277" s="67"/>
      <c r="V277" s="67"/>
      <c r="W277" s="67"/>
      <c r="X277" s="67"/>
      <c r="Y277" s="67"/>
    </row>
    <row r="278" spans="2:25" ht="14.25">
      <c r="B278" s="15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15"/>
      <c r="N278" s="15"/>
      <c r="O278" s="15"/>
      <c r="P278" s="15"/>
      <c r="Q278" s="15"/>
      <c r="R278" s="15"/>
      <c r="S278" s="15"/>
      <c r="T278" s="67"/>
      <c r="U278" s="67"/>
      <c r="V278" s="67"/>
      <c r="W278" s="67"/>
      <c r="X278" s="67"/>
      <c r="Y278" s="67"/>
    </row>
    <row r="279" spans="2:25" ht="14.25">
      <c r="B279" s="15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15"/>
      <c r="N279" s="15"/>
      <c r="O279" s="15"/>
      <c r="P279" s="15"/>
      <c r="Q279" s="15"/>
      <c r="R279" s="15"/>
      <c r="S279" s="15"/>
      <c r="T279" s="67"/>
      <c r="U279" s="67"/>
      <c r="V279" s="67"/>
      <c r="W279" s="67"/>
      <c r="X279" s="67"/>
      <c r="Y279" s="67"/>
    </row>
    <row r="280" spans="2:25" ht="14.25">
      <c r="B280" s="15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15"/>
      <c r="N280" s="15"/>
      <c r="O280" s="15"/>
      <c r="P280" s="15"/>
      <c r="Q280" s="15"/>
      <c r="R280" s="15"/>
      <c r="S280" s="15"/>
      <c r="T280" s="67"/>
      <c r="U280" s="67"/>
      <c r="V280" s="67"/>
      <c r="W280" s="67"/>
      <c r="X280" s="67"/>
      <c r="Y280" s="67"/>
    </row>
    <row r="281" spans="2:25" ht="14.25">
      <c r="B281" s="15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15"/>
      <c r="N281" s="15"/>
      <c r="O281" s="15"/>
      <c r="P281" s="15"/>
      <c r="Q281" s="15"/>
      <c r="R281" s="15"/>
      <c r="S281" s="15"/>
      <c r="T281" s="67"/>
      <c r="U281" s="67"/>
      <c r="V281" s="67"/>
      <c r="W281" s="67"/>
      <c r="X281" s="67"/>
      <c r="Y281" s="67"/>
    </row>
    <row r="282" spans="2:25" ht="14.25">
      <c r="B282" s="15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15"/>
      <c r="N282" s="15"/>
      <c r="O282" s="15"/>
      <c r="P282" s="15"/>
      <c r="Q282" s="15"/>
      <c r="R282" s="15"/>
      <c r="S282" s="15"/>
      <c r="T282" s="67"/>
      <c r="U282" s="67"/>
      <c r="V282" s="67"/>
      <c r="W282" s="67"/>
      <c r="X282" s="67"/>
      <c r="Y282" s="67"/>
    </row>
    <row r="283" spans="2:25" ht="14.25">
      <c r="B283" s="15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15"/>
      <c r="N283" s="15"/>
      <c r="O283" s="15"/>
      <c r="P283" s="15"/>
      <c r="Q283" s="15"/>
      <c r="R283" s="15"/>
      <c r="S283" s="15"/>
      <c r="T283" s="67"/>
      <c r="U283" s="67"/>
      <c r="V283" s="67"/>
      <c r="W283" s="67"/>
      <c r="X283" s="67"/>
      <c r="Y283" s="67"/>
    </row>
    <row r="284" spans="2:25" ht="14.25">
      <c r="B284" s="15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15"/>
      <c r="N284" s="15"/>
      <c r="O284" s="15"/>
      <c r="P284" s="15"/>
      <c r="Q284" s="15"/>
      <c r="R284" s="15"/>
      <c r="S284" s="15"/>
      <c r="T284" s="67"/>
      <c r="U284" s="67"/>
      <c r="V284" s="67"/>
      <c r="W284" s="67"/>
      <c r="X284" s="67"/>
      <c r="Y284" s="67"/>
    </row>
    <row r="285" spans="2:25" ht="14.25">
      <c r="B285" s="15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15"/>
      <c r="N285" s="15"/>
      <c r="O285" s="15"/>
      <c r="P285" s="15"/>
      <c r="Q285" s="15"/>
      <c r="R285" s="15"/>
      <c r="S285" s="15"/>
      <c r="T285" s="67"/>
      <c r="U285" s="67"/>
      <c r="V285" s="67"/>
      <c r="W285" s="67"/>
      <c r="X285" s="67"/>
      <c r="Y285" s="67"/>
    </row>
    <row r="286" spans="2:25" ht="14.25">
      <c r="B286" s="15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15"/>
      <c r="N286" s="15"/>
      <c r="O286" s="15"/>
      <c r="P286" s="15"/>
      <c r="Q286" s="15"/>
      <c r="R286" s="15"/>
      <c r="S286" s="15"/>
      <c r="T286" s="67"/>
      <c r="U286" s="67"/>
      <c r="V286" s="67"/>
      <c r="W286" s="67"/>
      <c r="X286" s="67"/>
      <c r="Y286" s="67"/>
    </row>
    <row r="287" spans="2:25" ht="14.25">
      <c r="B287" s="15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15"/>
      <c r="N287" s="15"/>
      <c r="O287" s="15"/>
      <c r="P287" s="15"/>
      <c r="Q287" s="15"/>
      <c r="R287" s="15"/>
      <c r="S287" s="15"/>
      <c r="T287" s="67"/>
      <c r="U287" s="67"/>
      <c r="V287" s="67"/>
      <c r="W287" s="67"/>
      <c r="X287" s="67"/>
      <c r="Y287" s="67"/>
    </row>
    <row r="288" spans="2:25" ht="14.25">
      <c r="B288" s="15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15"/>
      <c r="N288" s="15"/>
      <c r="O288" s="15"/>
      <c r="P288" s="15"/>
      <c r="Q288" s="15"/>
      <c r="R288" s="15"/>
      <c r="S288" s="15"/>
      <c r="T288" s="67"/>
      <c r="U288" s="67"/>
      <c r="V288" s="67"/>
      <c r="W288" s="67"/>
      <c r="X288" s="67"/>
      <c r="Y288" s="67"/>
    </row>
    <row r="289" spans="2:25" ht="14.25">
      <c r="B289" s="15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15"/>
      <c r="N289" s="15"/>
      <c r="O289" s="15"/>
      <c r="P289" s="15"/>
      <c r="Q289" s="15"/>
      <c r="R289" s="15"/>
      <c r="S289" s="15"/>
      <c r="T289" s="67"/>
      <c r="U289" s="67"/>
      <c r="V289" s="67"/>
      <c r="W289" s="67"/>
      <c r="X289" s="67"/>
      <c r="Y289" s="67"/>
    </row>
    <row r="290" spans="2:25" ht="14.25">
      <c r="B290" s="15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15"/>
      <c r="N290" s="15"/>
      <c r="O290" s="15"/>
      <c r="P290" s="15"/>
      <c r="Q290" s="15"/>
      <c r="R290" s="15"/>
      <c r="S290" s="15"/>
      <c r="T290" s="67"/>
      <c r="U290" s="67"/>
      <c r="V290" s="67"/>
      <c r="W290" s="67"/>
      <c r="X290" s="67"/>
      <c r="Y290" s="67"/>
    </row>
    <row r="291" spans="2:25" ht="14.25">
      <c r="B291" s="15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15"/>
      <c r="N291" s="15"/>
      <c r="O291" s="15"/>
      <c r="P291" s="15"/>
      <c r="Q291" s="15"/>
      <c r="R291" s="15"/>
      <c r="S291" s="15"/>
      <c r="T291" s="67"/>
      <c r="U291" s="67"/>
      <c r="V291" s="67"/>
      <c r="W291" s="67"/>
      <c r="X291" s="67"/>
      <c r="Y291" s="67"/>
    </row>
    <row r="292" spans="2:25" ht="14.25">
      <c r="B292" s="15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15"/>
      <c r="N292" s="15"/>
      <c r="O292" s="15"/>
      <c r="P292" s="15"/>
      <c r="Q292" s="15"/>
      <c r="R292" s="15"/>
      <c r="S292" s="15"/>
      <c r="T292" s="67"/>
      <c r="U292" s="67"/>
      <c r="V292" s="67"/>
      <c r="W292" s="67"/>
      <c r="X292" s="67"/>
      <c r="Y292" s="67"/>
    </row>
    <row r="293" spans="2:25" ht="14.25">
      <c r="B293" s="15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15"/>
      <c r="N293" s="15"/>
      <c r="O293" s="15"/>
      <c r="P293" s="15"/>
      <c r="Q293" s="15"/>
      <c r="R293" s="15"/>
      <c r="S293" s="15"/>
      <c r="T293" s="67"/>
      <c r="U293" s="67"/>
      <c r="V293" s="67"/>
      <c r="W293" s="67"/>
      <c r="X293" s="67"/>
      <c r="Y293" s="67"/>
    </row>
    <row r="294" spans="2:25" ht="14.25">
      <c r="B294" s="15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15"/>
      <c r="N294" s="15"/>
      <c r="O294" s="15"/>
      <c r="P294" s="15"/>
      <c r="Q294" s="15"/>
      <c r="R294" s="15"/>
      <c r="S294" s="15"/>
      <c r="T294" s="67"/>
      <c r="U294" s="67"/>
      <c r="V294" s="67"/>
      <c r="W294" s="67"/>
      <c r="X294" s="67"/>
      <c r="Y294" s="67"/>
    </row>
    <row r="295" spans="2:25" ht="14.25">
      <c r="B295" s="15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15"/>
      <c r="N295" s="15"/>
      <c r="O295" s="15"/>
      <c r="P295" s="15"/>
      <c r="Q295" s="15"/>
      <c r="R295" s="15"/>
      <c r="S295" s="15"/>
      <c r="T295" s="67"/>
      <c r="U295" s="67"/>
      <c r="V295" s="67"/>
      <c r="W295" s="67"/>
      <c r="X295" s="67"/>
      <c r="Y295" s="67"/>
    </row>
    <row r="296" spans="2:25" ht="14.25">
      <c r="B296" s="15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15"/>
      <c r="N296" s="15"/>
      <c r="O296" s="15"/>
      <c r="P296" s="15"/>
      <c r="Q296" s="15"/>
      <c r="R296" s="15"/>
      <c r="S296" s="15"/>
      <c r="T296" s="67"/>
      <c r="U296" s="67"/>
      <c r="V296" s="67"/>
      <c r="W296" s="67"/>
      <c r="X296" s="67"/>
      <c r="Y296" s="67"/>
    </row>
    <row r="297" spans="2:25" ht="14.25">
      <c r="B297" s="15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15"/>
      <c r="N297" s="15"/>
      <c r="O297" s="15"/>
      <c r="P297" s="15"/>
      <c r="Q297" s="15"/>
      <c r="R297" s="15"/>
      <c r="S297" s="15"/>
      <c r="T297" s="67"/>
      <c r="U297" s="67"/>
      <c r="V297" s="67"/>
      <c r="W297" s="67"/>
      <c r="X297" s="67"/>
      <c r="Y297" s="67"/>
    </row>
    <row r="298" spans="2:25" ht="14.25">
      <c r="B298" s="15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15"/>
      <c r="N298" s="15"/>
      <c r="O298" s="15"/>
      <c r="P298" s="15"/>
      <c r="Q298" s="15"/>
      <c r="R298" s="15"/>
      <c r="S298" s="15"/>
      <c r="T298" s="67"/>
      <c r="U298" s="67"/>
      <c r="V298" s="67"/>
      <c r="W298" s="67"/>
      <c r="X298" s="67"/>
      <c r="Y298" s="67"/>
    </row>
    <row r="299" spans="2:25" ht="14.25">
      <c r="B299" s="15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15"/>
      <c r="N299" s="15"/>
      <c r="O299" s="15"/>
      <c r="P299" s="15"/>
      <c r="Q299" s="15"/>
      <c r="R299" s="15"/>
      <c r="S299" s="15"/>
      <c r="T299" s="67"/>
      <c r="U299" s="67"/>
      <c r="V299" s="67"/>
      <c r="W299" s="67"/>
      <c r="X299" s="67"/>
      <c r="Y299" s="67"/>
    </row>
    <row r="300" spans="2:25" ht="14.25">
      <c r="B300" s="15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15"/>
      <c r="N300" s="15"/>
      <c r="O300" s="15"/>
      <c r="P300" s="15"/>
      <c r="Q300" s="15"/>
      <c r="R300" s="15"/>
      <c r="S300" s="15"/>
      <c r="T300" s="67"/>
      <c r="U300" s="67"/>
      <c r="V300" s="67"/>
      <c r="W300" s="67"/>
      <c r="X300" s="67"/>
      <c r="Y300" s="67"/>
    </row>
    <row r="301" spans="2:25" ht="14.25">
      <c r="B301" s="15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15"/>
      <c r="N301" s="15"/>
      <c r="O301" s="15"/>
      <c r="P301" s="15"/>
      <c r="Q301" s="15"/>
      <c r="R301" s="15"/>
      <c r="S301" s="15"/>
      <c r="T301" s="67"/>
      <c r="U301" s="67"/>
      <c r="V301" s="67"/>
      <c r="W301" s="67"/>
      <c r="X301" s="67"/>
      <c r="Y301" s="67"/>
    </row>
    <row r="302" spans="2:25" ht="14.25">
      <c r="B302" s="15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15"/>
      <c r="N302" s="15"/>
      <c r="O302" s="15"/>
      <c r="P302" s="15"/>
      <c r="Q302" s="15"/>
      <c r="R302" s="15"/>
      <c r="S302" s="15"/>
      <c r="T302" s="67"/>
      <c r="U302" s="67"/>
      <c r="V302" s="67"/>
      <c r="W302" s="67"/>
      <c r="X302" s="67"/>
      <c r="Y302" s="67"/>
    </row>
    <row r="303" spans="2:25" ht="14.25">
      <c r="B303" s="15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15"/>
      <c r="N303" s="15"/>
      <c r="O303" s="15"/>
      <c r="P303" s="15"/>
      <c r="Q303" s="15"/>
      <c r="R303" s="15"/>
      <c r="S303" s="15"/>
      <c r="T303" s="67"/>
      <c r="U303" s="67"/>
      <c r="V303" s="67"/>
      <c r="W303" s="67"/>
      <c r="X303" s="67"/>
      <c r="Y303" s="67"/>
    </row>
    <row r="304" spans="2:25" ht="14.25">
      <c r="B304" s="15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15"/>
      <c r="N304" s="15"/>
      <c r="O304" s="15"/>
      <c r="P304" s="15"/>
      <c r="Q304" s="15"/>
      <c r="R304" s="15"/>
      <c r="S304" s="15"/>
      <c r="T304" s="67"/>
      <c r="U304" s="67"/>
      <c r="V304" s="67"/>
      <c r="W304" s="67"/>
      <c r="X304" s="67"/>
      <c r="Y304" s="67"/>
    </row>
    <row r="305" spans="2:25" ht="14.25">
      <c r="B305" s="15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15"/>
      <c r="N305" s="15"/>
      <c r="O305" s="15"/>
      <c r="P305" s="15"/>
      <c r="Q305" s="15"/>
      <c r="R305" s="15"/>
      <c r="S305" s="15"/>
      <c r="T305" s="67"/>
      <c r="U305" s="67"/>
      <c r="V305" s="67"/>
      <c r="W305" s="67"/>
      <c r="X305" s="67"/>
      <c r="Y305" s="67"/>
    </row>
    <row r="306" spans="2:25" ht="14.25">
      <c r="B306" s="15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15"/>
      <c r="N306" s="15"/>
      <c r="O306" s="15"/>
      <c r="P306" s="15"/>
      <c r="Q306" s="15"/>
      <c r="R306" s="15"/>
      <c r="S306" s="15"/>
      <c r="T306" s="67"/>
      <c r="U306" s="67"/>
      <c r="V306" s="67"/>
      <c r="W306" s="67"/>
      <c r="X306" s="67"/>
      <c r="Y306" s="67"/>
    </row>
    <row r="307" spans="2:25" ht="14.25">
      <c r="B307" s="15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15"/>
      <c r="N307" s="15"/>
      <c r="O307" s="15"/>
      <c r="P307" s="15"/>
      <c r="Q307" s="15"/>
      <c r="R307" s="15"/>
      <c r="S307" s="15"/>
      <c r="T307" s="67"/>
      <c r="U307" s="67"/>
      <c r="V307" s="67"/>
      <c r="W307" s="67"/>
      <c r="X307" s="67"/>
      <c r="Y307" s="67"/>
    </row>
    <row r="308" spans="2:25" ht="14.25">
      <c r="B308" s="15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15"/>
      <c r="N308" s="15"/>
      <c r="O308" s="15"/>
      <c r="P308" s="15"/>
      <c r="Q308" s="15"/>
      <c r="R308" s="15"/>
      <c r="S308" s="15"/>
      <c r="T308" s="67"/>
      <c r="U308" s="67"/>
      <c r="V308" s="67"/>
      <c r="W308" s="67"/>
      <c r="X308" s="67"/>
      <c r="Y308" s="67"/>
    </row>
    <row r="309" spans="2:25" ht="14.25">
      <c r="B309" s="15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15"/>
      <c r="N309" s="15"/>
      <c r="O309" s="15"/>
      <c r="P309" s="15"/>
      <c r="Q309" s="15"/>
      <c r="R309" s="15"/>
      <c r="S309" s="15"/>
      <c r="T309" s="67"/>
      <c r="U309" s="67"/>
      <c r="V309" s="67"/>
      <c r="W309" s="67"/>
      <c r="X309" s="67"/>
      <c r="Y309" s="67"/>
    </row>
    <row r="310" spans="2:25" ht="14.25">
      <c r="B310" s="1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15"/>
      <c r="N310" s="15"/>
      <c r="O310" s="15"/>
      <c r="P310" s="15"/>
      <c r="Q310" s="15"/>
      <c r="R310" s="15"/>
      <c r="S310" s="15"/>
      <c r="T310" s="67"/>
      <c r="U310" s="67"/>
      <c r="V310" s="67"/>
      <c r="W310" s="67"/>
      <c r="X310" s="67"/>
      <c r="Y310" s="67"/>
    </row>
    <row r="311" spans="2:25" ht="14.25">
      <c r="B311" s="15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15"/>
      <c r="N311" s="15"/>
      <c r="O311" s="15"/>
      <c r="P311" s="15"/>
      <c r="Q311" s="15"/>
      <c r="R311" s="15"/>
      <c r="S311" s="15"/>
      <c r="T311" s="67"/>
      <c r="U311" s="67"/>
      <c r="V311" s="67"/>
      <c r="W311" s="67"/>
      <c r="X311" s="67"/>
      <c r="Y311" s="67"/>
    </row>
    <row r="312" spans="2:25" ht="14.25">
      <c r="B312" s="15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15"/>
      <c r="N312" s="15"/>
      <c r="O312" s="15"/>
      <c r="P312" s="15"/>
      <c r="Q312" s="15"/>
      <c r="R312" s="15"/>
      <c r="S312" s="15"/>
      <c r="T312" s="67"/>
      <c r="U312" s="67"/>
      <c r="V312" s="67"/>
      <c r="W312" s="67"/>
      <c r="X312" s="67"/>
      <c r="Y312" s="67"/>
    </row>
    <row r="313" spans="2:25" ht="14.25">
      <c r="B313" s="15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15"/>
      <c r="N313" s="15"/>
      <c r="O313" s="15"/>
      <c r="P313" s="15"/>
      <c r="Q313" s="15"/>
      <c r="R313" s="15"/>
      <c r="S313" s="15"/>
      <c r="T313" s="67"/>
      <c r="U313" s="67"/>
      <c r="V313" s="67"/>
      <c r="W313" s="67"/>
      <c r="X313" s="67"/>
      <c r="Y313" s="67"/>
    </row>
    <row r="314" spans="2:25" ht="14.25">
      <c r="B314" s="15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15"/>
      <c r="N314" s="15"/>
      <c r="O314" s="15"/>
      <c r="P314" s="15"/>
      <c r="Q314" s="15"/>
      <c r="R314" s="15"/>
      <c r="S314" s="15"/>
      <c r="T314" s="67"/>
      <c r="U314" s="67"/>
      <c r="V314" s="67"/>
      <c r="W314" s="67"/>
      <c r="X314" s="67"/>
      <c r="Y314" s="67"/>
    </row>
    <row r="315" spans="2:25" ht="14.25">
      <c r="B315" s="15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15"/>
      <c r="N315" s="15"/>
      <c r="O315" s="15"/>
      <c r="P315" s="15"/>
      <c r="Q315" s="15"/>
      <c r="R315" s="15"/>
      <c r="S315" s="15"/>
      <c r="T315" s="67"/>
      <c r="U315" s="67"/>
      <c r="V315" s="67"/>
      <c r="W315" s="67"/>
      <c r="X315" s="67"/>
      <c r="Y315" s="67"/>
    </row>
    <row r="316" spans="2:25" ht="14.25">
      <c r="B316" s="15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15"/>
      <c r="N316" s="15"/>
      <c r="O316" s="15"/>
      <c r="P316" s="15"/>
      <c r="Q316" s="15"/>
      <c r="R316" s="15"/>
      <c r="S316" s="15"/>
      <c r="T316" s="67"/>
      <c r="U316" s="67"/>
      <c r="V316" s="67"/>
      <c r="W316" s="67"/>
      <c r="X316" s="67"/>
      <c r="Y316" s="67"/>
    </row>
    <row r="317" spans="2:25" ht="14.25">
      <c r="B317" s="15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15"/>
      <c r="N317" s="15"/>
      <c r="O317" s="15"/>
      <c r="P317" s="15"/>
      <c r="Q317" s="15"/>
      <c r="R317" s="15"/>
      <c r="S317" s="15"/>
      <c r="T317" s="67"/>
      <c r="U317" s="67"/>
      <c r="V317" s="67"/>
      <c r="W317" s="67"/>
      <c r="X317" s="67"/>
      <c r="Y317" s="67"/>
    </row>
    <row r="318" spans="2:25" ht="14.25">
      <c r="B318" s="15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15"/>
      <c r="N318" s="15"/>
      <c r="O318" s="15"/>
      <c r="P318" s="15"/>
      <c r="Q318" s="15"/>
      <c r="R318" s="15"/>
      <c r="S318" s="15"/>
      <c r="T318" s="67"/>
      <c r="U318" s="67"/>
      <c r="V318" s="67"/>
      <c r="W318" s="67"/>
      <c r="X318" s="67"/>
      <c r="Y318" s="67"/>
    </row>
    <row r="319" spans="2:25" ht="14.25">
      <c r="B319" s="15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15"/>
      <c r="N319" s="15"/>
      <c r="O319" s="15"/>
      <c r="P319" s="15"/>
      <c r="Q319" s="15"/>
      <c r="R319" s="15"/>
      <c r="S319" s="15"/>
      <c r="T319" s="67"/>
      <c r="U319" s="67"/>
      <c r="V319" s="67"/>
      <c r="W319" s="67"/>
      <c r="X319" s="67"/>
      <c r="Y319" s="67"/>
    </row>
    <row r="320" spans="2:25" ht="14.25">
      <c r="B320" s="15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15"/>
      <c r="N320" s="15"/>
      <c r="O320" s="15"/>
      <c r="P320" s="15"/>
      <c r="Q320" s="15"/>
      <c r="R320" s="15"/>
      <c r="S320" s="15"/>
      <c r="T320" s="67"/>
      <c r="U320" s="67"/>
      <c r="V320" s="67"/>
      <c r="W320" s="67"/>
      <c r="X320" s="67"/>
      <c r="Y320" s="67"/>
    </row>
    <row r="321" spans="2:25" ht="14.25">
      <c r="B321" s="15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15"/>
      <c r="N321" s="15"/>
      <c r="O321" s="15"/>
      <c r="P321" s="15"/>
      <c r="Q321" s="15"/>
      <c r="R321" s="15"/>
      <c r="S321" s="15"/>
      <c r="T321" s="67"/>
      <c r="U321" s="67"/>
      <c r="V321" s="67"/>
      <c r="W321" s="67"/>
      <c r="X321" s="67"/>
      <c r="Y321" s="67"/>
    </row>
    <row r="322" spans="2:25" ht="14.25">
      <c r="B322" s="15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15"/>
      <c r="N322" s="15"/>
      <c r="O322" s="15"/>
      <c r="P322" s="15"/>
      <c r="Q322" s="15"/>
      <c r="R322" s="15"/>
      <c r="S322" s="15"/>
      <c r="T322" s="67"/>
      <c r="U322" s="67"/>
      <c r="V322" s="67"/>
      <c r="W322" s="67"/>
      <c r="X322" s="67"/>
      <c r="Y322" s="67"/>
    </row>
    <row r="323" spans="2:25" ht="14.25">
      <c r="B323" s="15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15"/>
      <c r="N323" s="15"/>
      <c r="O323" s="15"/>
      <c r="P323" s="15"/>
      <c r="Q323" s="15"/>
      <c r="R323" s="15"/>
      <c r="S323" s="15"/>
      <c r="T323" s="67"/>
      <c r="U323" s="67"/>
      <c r="V323" s="67"/>
      <c r="W323" s="67"/>
      <c r="X323" s="67"/>
      <c r="Y323" s="67"/>
    </row>
    <row r="324" spans="2:25" ht="14.25">
      <c r="B324" s="15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15"/>
      <c r="N324" s="15"/>
      <c r="O324" s="15"/>
      <c r="P324" s="15"/>
      <c r="Q324" s="15"/>
      <c r="R324" s="15"/>
      <c r="S324" s="15"/>
      <c r="T324" s="67"/>
      <c r="U324" s="67"/>
      <c r="V324" s="67"/>
      <c r="W324" s="67"/>
      <c r="X324" s="67"/>
      <c r="Y324" s="67"/>
    </row>
    <row r="325" spans="2:25" ht="14.25">
      <c r="B325" s="15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15"/>
      <c r="N325" s="15"/>
      <c r="O325" s="15"/>
      <c r="P325" s="15"/>
      <c r="Q325" s="15"/>
      <c r="R325" s="15"/>
      <c r="S325" s="15"/>
      <c r="T325" s="67"/>
      <c r="U325" s="67"/>
      <c r="V325" s="67"/>
      <c r="W325" s="67"/>
      <c r="X325" s="67"/>
      <c r="Y325" s="67"/>
    </row>
    <row r="326" spans="2:25" ht="14.25">
      <c r="B326" s="15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15"/>
      <c r="N326" s="15"/>
      <c r="O326" s="15"/>
      <c r="P326" s="15"/>
      <c r="Q326" s="15"/>
      <c r="R326" s="15"/>
      <c r="S326" s="15"/>
      <c r="T326" s="67"/>
      <c r="U326" s="67"/>
      <c r="V326" s="67"/>
      <c r="W326" s="67"/>
      <c r="X326" s="67"/>
      <c r="Y326" s="67"/>
    </row>
    <row r="327" spans="2:25" ht="14.25">
      <c r="B327" s="15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15"/>
      <c r="N327" s="15"/>
      <c r="O327" s="15"/>
      <c r="P327" s="15"/>
      <c r="Q327" s="15"/>
      <c r="R327" s="15"/>
      <c r="S327" s="15"/>
      <c r="T327" s="67"/>
      <c r="U327" s="67"/>
      <c r="V327" s="67"/>
      <c r="W327" s="67"/>
      <c r="X327" s="67"/>
      <c r="Y327" s="67"/>
    </row>
    <row r="328" spans="2:25" ht="14.25">
      <c r="B328" s="15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15"/>
      <c r="N328" s="15"/>
      <c r="O328" s="15"/>
      <c r="P328" s="15"/>
      <c r="Q328" s="15"/>
      <c r="R328" s="15"/>
      <c r="S328" s="15"/>
      <c r="T328" s="67"/>
      <c r="U328" s="67"/>
      <c r="V328" s="67"/>
      <c r="W328" s="67"/>
      <c r="X328" s="67"/>
      <c r="Y328" s="67"/>
    </row>
    <row r="329" spans="2:25" ht="14.25">
      <c r="B329" s="15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15"/>
      <c r="N329" s="15"/>
      <c r="O329" s="15"/>
      <c r="P329" s="15"/>
      <c r="Q329" s="15"/>
      <c r="R329" s="15"/>
      <c r="S329" s="15"/>
      <c r="T329" s="67"/>
      <c r="U329" s="67"/>
      <c r="V329" s="67"/>
      <c r="W329" s="67"/>
      <c r="X329" s="67"/>
      <c r="Y329" s="67"/>
    </row>
    <row r="330" spans="2:25" ht="14.25">
      <c r="B330" s="15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15"/>
      <c r="N330" s="15"/>
      <c r="O330" s="15"/>
      <c r="P330" s="15"/>
      <c r="Q330" s="15"/>
      <c r="R330" s="15"/>
      <c r="S330" s="15"/>
      <c r="T330" s="67"/>
      <c r="U330" s="67"/>
      <c r="V330" s="67"/>
      <c r="W330" s="67"/>
      <c r="X330" s="67"/>
      <c r="Y330" s="67"/>
    </row>
    <row r="331" spans="2:25" ht="14.25">
      <c r="B331" s="15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15"/>
      <c r="N331" s="15"/>
      <c r="O331" s="15"/>
      <c r="P331" s="15"/>
      <c r="Q331" s="15"/>
      <c r="R331" s="15"/>
      <c r="S331" s="15"/>
      <c r="T331" s="67"/>
      <c r="U331" s="67"/>
      <c r="V331" s="67"/>
      <c r="W331" s="67"/>
      <c r="X331" s="67"/>
      <c r="Y331" s="67"/>
    </row>
    <row r="332" spans="2:25" ht="14.25">
      <c r="B332" s="15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15"/>
      <c r="N332" s="15"/>
      <c r="O332" s="15"/>
      <c r="P332" s="15"/>
      <c r="Q332" s="15"/>
      <c r="R332" s="15"/>
      <c r="S332" s="15"/>
      <c r="T332" s="67"/>
      <c r="U332" s="67"/>
      <c r="V332" s="67"/>
      <c r="W332" s="67"/>
      <c r="X332" s="67"/>
      <c r="Y332" s="67"/>
    </row>
    <row r="333" spans="2:25" ht="14.25">
      <c r="B333" s="15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15"/>
      <c r="N333" s="15"/>
      <c r="O333" s="15"/>
      <c r="P333" s="15"/>
      <c r="Q333" s="15"/>
      <c r="R333" s="15"/>
      <c r="S333" s="15"/>
      <c r="T333" s="67"/>
      <c r="U333" s="67"/>
      <c r="V333" s="67"/>
      <c r="W333" s="67"/>
      <c r="X333" s="67"/>
      <c r="Y333" s="67"/>
    </row>
    <row r="334" spans="2:25" ht="14.25">
      <c r="B334" s="15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15"/>
      <c r="N334" s="15"/>
      <c r="O334" s="15"/>
      <c r="P334" s="15"/>
      <c r="Q334" s="15"/>
      <c r="R334" s="15"/>
      <c r="S334" s="15"/>
      <c r="T334" s="67"/>
      <c r="U334" s="67"/>
      <c r="V334" s="67"/>
      <c r="W334" s="67"/>
      <c r="X334" s="67"/>
      <c r="Y334" s="67"/>
    </row>
    <row r="335" spans="2:25" ht="14.25">
      <c r="B335" s="15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15"/>
      <c r="N335" s="15"/>
      <c r="O335" s="15"/>
      <c r="P335" s="15"/>
      <c r="Q335" s="15"/>
      <c r="R335" s="15"/>
      <c r="S335" s="15"/>
      <c r="T335" s="67"/>
      <c r="U335" s="67"/>
      <c r="V335" s="67"/>
      <c r="W335" s="67"/>
      <c r="X335" s="67"/>
      <c r="Y335" s="67"/>
    </row>
    <row r="336" spans="2:25" ht="14.25">
      <c r="B336" s="15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15"/>
      <c r="N336" s="15"/>
      <c r="O336" s="15"/>
      <c r="P336" s="15"/>
      <c r="Q336" s="15"/>
      <c r="R336" s="15"/>
      <c r="S336" s="15"/>
      <c r="T336" s="67"/>
      <c r="U336" s="67"/>
      <c r="V336" s="67"/>
      <c r="W336" s="67"/>
      <c r="X336" s="67"/>
      <c r="Y336" s="67"/>
    </row>
    <row r="337" spans="2:25" ht="14.25">
      <c r="B337" s="15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15"/>
      <c r="N337" s="15"/>
      <c r="O337" s="15"/>
      <c r="P337" s="15"/>
      <c r="Q337" s="15"/>
      <c r="R337" s="15"/>
      <c r="S337" s="15"/>
      <c r="T337" s="67"/>
      <c r="U337" s="67"/>
      <c r="V337" s="67"/>
      <c r="W337" s="67"/>
      <c r="X337" s="67"/>
      <c r="Y337" s="67"/>
    </row>
    <row r="338" spans="2:25" ht="14.25">
      <c r="B338" s="15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15"/>
      <c r="N338" s="15"/>
      <c r="O338" s="15"/>
      <c r="P338" s="15"/>
      <c r="Q338" s="15"/>
      <c r="R338" s="15"/>
      <c r="S338" s="15"/>
      <c r="T338" s="67"/>
      <c r="U338" s="67"/>
      <c r="V338" s="67"/>
      <c r="W338" s="67"/>
      <c r="X338" s="67"/>
      <c r="Y338" s="67"/>
    </row>
    <row r="339" spans="2:25" ht="14.25">
      <c r="B339" s="15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15"/>
      <c r="N339" s="15"/>
      <c r="O339" s="15"/>
      <c r="P339" s="15"/>
      <c r="Q339" s="15"/>
      <c r="R339" s="15"/>
      <c r="S339" s="15"/>
      <c r="T339" s="67"/>
      <c r="U339" s="67"/>
      <c r="V339" s="67"/>
      <c r="W339" s="67"/>
      <c r="X339" s="67"/>
      <c r="Y339" s="67"/>
    </row>
    <row r="340" spans="2:25" ht="14.25">
      <c r="B340" s="15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15"/>
      <c r="N340" s="15"/>
      <c r="O340" s="15"/>
      <c r="P340" s="15"/>
      <c r="Q340" s="15"/>
      <c r="R340" s="15"/>
      <c r="S340" s="15"/>
      <c r="T340" s="67"/>
      <c r="U340" s="67"/>
      <c r="V340" s="67"/>
      <c r="W340" s="67"/>
      <c r="X340" s="67"/>
      <c r="Y340" s="67"/>
    </row>
    <row r="341" spans="2:25" ht="14.25">
      <c r="B341" s="15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15"/>
      <c r="N341" s="15"/>
      <c r="O341" s="15"/>
      <c r="P341" s="15"/>
      <c r="Q341" s="15"/>
      <c r="R341" s="15"/>
      <c r="S341" s="15"/>
      <c r="T341" s="67"/>
      <c r="U341" s="67"/>
      <c r="V341" s="67"/>
      <c r="W341" s="67"/>
      <c r="X341" s="67"/>
      <c r="Y341" s="67"/>
    </row>
    <row r="342" spans="2:25" ht="14.25">
      <c r="B342" s="15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15"/>
      <c r="N342" s="15"/>
      <c r="O342" s="15"/>
      <c r="P342" s="15"/>
      <c r="Q342" s="15"/>
      <c r="R342" s="15"/>
      <c r="S342" s="15"/>
      <c r="T342" s="67"/>
      <c r="U342" s="67"/>
      <c r="V342" s="67"/>
      <c r="W342" s="67"/>
      <c r="X342" s="67"/>
      <c r="Y342" s="67"/>
    </row>
    <row r="343" spans="2:25" ht="14.25">
      <c r="B343" s="15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15"/>
      <c r="N343" s="15"/>
      <c r="O343" s="15"/>
      <c r="P343" s="15"/>
      <c r="Q343" s="15"/>
      <c r="R343" s="15"/>
      <c r="S343" s="15"/>
      <c r="T343" s="67"/>
      <c r="U343" s="67"/>
      <c r="V343" s="67"/>
      <c r="W343" s="67"/>
      <c r="X343" s="67"/>
      <c r="Y343" s="67"/>
    </row>
    <row r="344" spans="2:25" ht="14.25">
      <c r="B344" s="15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15"/>
      <c r="N344" s="15"/>
      <c r="O344" s="15"/>
      <c r="P344" s="15"/>
      <c r="Q344" s="15"/>
      <c r="R344" s="15"/>
      <c r="S344" s="15"/>
      <c r="T344" s="67"/>
      <c r="U344" s="67"/>
      <c r="V344" s="67"/>
      <c r="W344" s="67"/>
      <c r="X344" s="67"/>
      <c r="Y344" s="67"/>
    </row>
    <row r="345" spans="2:25" ht="14.25">
      <c r="B345" s="15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15"/>
      <c r="N345" s="15"/>
      <c r="O345" s="15"/>
      <c r="P345" s="15"/>
      <c r="Q345" s="15"/>
      <c r="R345" s="15"/>
      <c r="S345" s="15"/>
      <c r="T345" s="67"/>
      <c r="U345" s="67"/>
      <c r="V345" s="67"/>
      <c r="W345" s="67"/>
      <c r="X345" s="67"/>
      <c r="Y345" s="67"/>
    </row>
    <row r="346" spans="2:25" ht="14.25">
      <c r="B346" s="15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15"/>
      <c r="N346" s="15"/>
      <c r="O346" s="15"/>
      <c r="P346" s="15"/>
      <c r="Q346" s="15"/>
      <c r="R346" s="15"/>
      <c r="S346" s="15"/>
      <c r="T346" s="67"/>
      <c r="U346" s="67"/>
      <c r="V346" s="67"/>
      <c r="W346" s="67"/>
      <c r="X346" s="67"/>
      <c r="Y346" s="67"/>
    </row>
    <row r="347" spans="2:25" ht="14.25">
      <c r="B347" s="15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15"/>
      <c r="N347" s="15"/>
      <c r="O347" s="15"/>
      <c r="P347" s="15"/>
      <c r="Q347" s="15"/>
      <c r="R347" s="15"/>
      <c r="S347" s="15"/>
      <c r="T347" s="67"/>
      <c r="U347" s="67"/>
      <c r="V347" s="67"/>
      <c r="W347" s="67"/>
      <c r="X347" s="67"/>
      <c r="Y347" s="67"/>
    </row>
    <row r="348" spans="2:25" ht="14.25">
      <c r="B348" s="15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15"/>
      <c r="N348" s="15"/>
      <c r="O348" s="15"/>
      <c r="P348" s="15"/>
      <c r="Q348" s="15"/>
      <c r="R348" s="15"/>
      <c r="S348" s="15"/>
      <c r="T348" s="67"/>
      <c r="U348" s="67"/>
      <c r="V348" s="67"/>
      <c r="W348" s="67"/>
      <c r="X348" s="67"/>
      <c r="Y348" s="67"/>
    </row>
    <row r="349" spans="2:25" ht="14.25">
      <c r="B349" s="15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15"/>
      <c r="N349" s="15"/>
      <c r="O349" s="15"/>
      <c r="P349" s="15"/>
      <c r="Q349" s="15"/>
      <c r="R349" s="15"/>
      <c r="S349" s="15"/>
      <c r="T349" s="67"/>
      <c r="U349" s="67"/>
      <c r="V349" s="67"/>
      <c r="W349" s="67"/>
      <c r="X349" s="67"/>
      <c r="Y349" s="67"/>
    </row>
    <row r="350" spans="2:25" ht="14.25">
      <c r="B350" s="15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15"/>
      <c r="N350" s="15"/>
      <c r="O350" s="15"/>
      <c r="P350" s="15"/>
      <c r="Q350" s="15"/>
      <c r="R350" s="15"/>
      <c r="S350" s="15"/>
      <c r="T350" s="67"/>
      <c r="U350" s="67"/>
      <c r="V350" s="67"/>
      <c r="W350" s="67"/>
      <c r="X350" s="67"/>
      <c r="Y350" s="67"/>
    </row>
    <row r="351" spans="2:25" ht="14.25">
      <c r="B351" s="15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15"/>
      <c r="N351" s="15"/>
      <c r="O351" s="15"/>
      <c r="P351" s="15"/>
      <c r="Q351" s="15"/>
      <c r="R351" s="15"/>
      <c r="S351" s="15"/>
      <c r="T351" s="67"/>
      <c r="U351" s="67"/>
      <c r="V351" s="67"/>
      <c r="W351" s="67"/>
      <c r="X351" s="67"/>
      <c r="Y351" s="67"/>
    </row>
    <row r="352" spans="2:25" ht="14.25">
      <c r="B352" s="15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15"/>
      <c r="N352" s="15"/>
      <c r="O352" s="15"/>
      <c r="P352" s="15"/>
      <c r="Q352" s="15"/>
      <c r="R352" s="15"/>
      <c r="S352" s="15"/>
      <c r="T352" s="67"/>
      <c r="U352" s="67"/>
      <c r="V352" s="67"/>
      <c r="W352" s="67"/>
      <c r="X352" s="67"/>
      <c r="Y352" s="67"/>
    </row>
    <row r="353" spans="2:25" ht="14.25">
      <c r="B353" s="15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15"/>
      <c r="N353" s="15"/>
      <c r="O353" s="15"/>
      <c r="P353" s="15"/>
      <c r="Q353" s="15"/>
      <c r="R353" s="15"/>
      <c r="S353" s="15"/>
      <c r="T353" s="67"/>
      <c r="U353" s="67"/>
      <c r="V353" s="67"/>
      <c r="W353" s="67"/>
      <c r="X353" s="67"/>
      <c r="Y353" s="67"/>
    </row>
    <row r="354" spans="2:25" ht="14.25">
      <c r="B354" s="15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15"/>
      <c r="N354" s="15"/>
      <c r="O354" s="15"/>
      <c r="P354" s="15"/>
      <c r="Q354" s="15"/>
      <c r="R354" s="15"/>
      <c r="S354" s="15"/>
      <c r="T354" s="67"/>
      <c r="U354" s="67"/>
      <c r="V354" s="67"/>
      <c r="W354" s="67"/>
      <c r="X354" s="67"/>
      <c r="Y354" s="67"/>
    </row>
    <row r="355" spans="2:25" ht="14.25">
      <c r="B355" s="15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15"/>
      <c r="N355" s="15"/>
      <c r="O355" s="15"/>
      <c r="P355" s="15"/>
      <c r="Q355" s="15"/>
      <c r="R355" s="15"/>
      <c r="S355" s="15"/>
      <c r="T355" s="67"/>
      <c r="U355" s="67"/>
      <c r="V355" s="67"/>
      <c r="W355" s="67"/>
      <c r="X355" s="67"/>
      <c r="Y355" s="67"/>
    </row>
    <row r="356" spans="2:25" ht="14.25">
      <c r="B356" s="15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15"/>
      <c r="N356" s="15"/>
      <c r="O356" s="15"/>
      <c r="P356" s="15"/>
      <c r="Q356" s="15"/>
      <c r="R356" s="15"/>
      <c r="S356" s="15"/>
      <c r="T356" s="67"/>
      <c r="U356" s="67"/>
      <c r="V356" s="67"/>
      <c r="W356" s="67"/>
      <c r="X356" s="67"/>
      <c r="Y356" s="67"/>
    </row>
    <row r="357" spans="2:25" ht="14.25">
      <c r="B357" s="15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15"/>
      <c r="N357" s="15"/>
      <c r="O357" s="15"/>
      <c r="P357" s="15"/>
      <c r="Q357" s="15"/>
      <c r="R357" s="15"/>
      <c r="S357" s="15"/>
      <c r="T357" s="67"/>
      <c r="U357" s="67"/>
      <c r="V357" s="67"/>
      <c r="W357" s="67"/>
      <c r="X357" s="67"/>
      <c r="Y357" s="67"/>
    </row>
    <row r="358" spans="2:25" ht="14.25">
      <c r="B358" s="15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15"/>
      <c r="N358" s="15"/>
      <c r="O358" s="15"/>
      <c r="P358" s="15"/>
      <c r="Q358" s="15"/>
      <c r="R358" s="15"/>
      <c r="S358" s="15"/>
      <c r="T358" s="67"/>
      <c r="U358" s="67"/>
      <c r="V358" s="67"/>
      <c r="W358" s="67"/>
      <c r="X358" s="67"/>
      <c r="Y358" s="67"/>
    </row>
    <row r="359" spans="2:25" ht="14.25">
      <c r="B359" s="15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15"/>
      <c r="N359" s="15"/>
      <c r="O359" s="15"/>
      <c r="P359" s="15"/>
      <c r="Q359" s="15"/>
      <c r="R359" s="15"/>
      <c r="S359" s="15"/>
      <c r="T359" s="67"/>
      <c r="U359" s="67"/>
      <c r="V359" s="67"/>
      <c r="W359" s="67"/>
      <c r="X359" s="67"/>
      <c r="Y359" s="67"/>
    </row>
    <row r="360" spans="2:25" ht="14.25">
      <c r="B360" s="15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15"/>
      <c r="N360" s="15"/>
      <c r="O360" s="15"/>
      <c r="P360" s="15"/>
      <c r="Q360" s="15"/>
      <c r="R360" s="15"/>
      <c r="S360" s="15"/>
      <c r="T360" s="67"/>
      <c r="U360" s="67"/>
      <c r="V360" s="67"/>
      <c r="W360" s="67"/>
      <c r="X360" s="67"/>
      <c r="Y360" s="67"/>
    </row>
    <row r="361" spans="2:25" ht="14.25">
      <c r="B361" s="15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15"/>
      <c r="N361" s="15"/>
      <c r="O361" s="15"/>
      <c r="P361" s="15"/>
      <c r="Q361" s="15"/>
      <c r="R361" s="15"/>
      <c r="S361" s="15"/>
      <c r="T361" s="67"/>
      <c r="U361" s="67"/>
      <c r="V361" s="67"/>
      <c r="W361" s="67"/>
      <c r="X361" s="67"/>
      <c r="Y361" s="67"/>
    </row>
    <row r="362" spans="2:25" ht="14.25">
      <c r="B362" s="15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15"/>
      <c r="N362" s="15"/>
      <c r="O362" s="15"/>
      <c r="P362" s="15"/>
      <c r="Q362" s="15"/>
      <c r="R362" s="15"/>
      <c r="S362" s="15"/>
      <c r="T362" s="67"/>
      <c r="U362" s="67"/>
      <c r="V362" s="67"/>
      <c r="W362" s="67"/>
      <c r="X362" s="67"/>
      <c r="Y362" s="67"/>
    </row>
    <row r="363" spans="2:25" ht="14.25">
      <c r="B363" s="15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15"/>
      <c r="N363" s="15"/>
      <c r="O363" s="15"/>
      <c r="P363" s="15"/>
      <c r="Q363" s="15"/>
      <c r="R363" s="15"/>
      <c r="S363" s="15"/>
      <c r="T363" s="67"/>
      <c r="U363" s="67"/>
      <c r="V363" s="67"/>
      <c r="W363" s="67"/>
      <c r="X363" s="67"/>
      <c r="Y363" s="67"/>
    </row>
    <row r="364" spans="2:25" ht="14.25">
      <c r="B364" s="15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15"/>
      <c r="N364" s="15"/>
      <c r="O364" s="15"/>
      <c r="P364" s="15"/>
      <c r="Q364" s="15"/>
      <c r="R364" s="15"/>
      <c r="S364" s="15"/>
      <c r="T364" s="67"/>
      <c r="U364" s="67"/>
      <c r="V364" s="67"/>
      <c r="W364" s="67"/>
      <c r="X364" s="67"/>
      <c r="Y364" s="67"/>
    </row>
    <row r="365" spans="2:25" ht="14.25">
      <c r="B365" s="15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15"/>
      <c r="N365" s="15"/>
      <c r="O365" s="15"/>
      <c r="P365" s="15"/>
      <c r="Q365" s="15"/>
      <c r="R365" s="15"/>
      <c r="S365" s="15"/>
      <c r="T365" s="67"/>
      <c r="U365" s="67"/>
      <c r="V365" s="67"/>
      <c r="W365" s="67"/>
      <c r="X365" s="67"/>
      <c r="Y365" s="67"/>
    </row>
    <row r="366" spans="2:25" ht="14.25">
      <c r="B366" s="15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15"/>
      <c r="N366" s="15"/>
      <c r="O366" s="15"/>
      <c r="P366" s="15"/>
      <c r="Q366" s="15"/>
      <c r="R366" s="15"/>
      <c r="S366" s="15"/>
      <c r="T366" s="67"/>
      <c r="U366" s="67"/>
      <c r="V366" s="67"/>
      <c r="W366" s="67"/>
      <c r="X366" s="67"/>
      <c r="Y366" s="67"/>
    </row>
    <row r="367" spans="2:25" ht="14.25">
      <c r="B367" s="15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15"/>
      <c r="N367" s="15"/>
      <c r="O367" s="15"/>
      <c r="P367" s="15"/>
      <c r="Q367" s="15"/>
      <c r="R367" s="15"/>
      <c r="S367" s="15"/>
      <c r="T367" s="67"/>
      <c r="U367" s="67"/>
      <c r="V367" s="67"/>
      <c r="W367" s="67"/>
      <c r="X367" s="67"/>
      <c r="Y367" s="67"/>
    </row>
    <row r="368" spans="2:25" ht="14.25">
      <c r="B368" s="15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15"/>
      <c r="N368" s="15"/>
      <c r="O368" s="15"/>
      <c r="P368" s="15"/>
      <c r="Q368" s="15"/>
      <c r="R368" s="15"/>
      <c r="S368" s="15"/>
      <c r="T368" s="67"/>
      <c r="U368" s="67"/>
      <c r="V368" s="67"/>
      <c r="W368" s="67"/>
      <c r="X368" s="67"/>
      <c r="Y368" s="67"/>
    </row>
    <row r="369" spans="2:25" ht="14.25">
      <c r="B369" s="15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15"/>
      <c r="N369" s="15"/>
      <c r="O369" s="15"/>
      <c r="P369" s="15"/>
      <c r="Q369" s="15"/>
      <c r="R369" s="15"/>
      <c r="S369" s="15"/>
      <c r="T369" s="67"/>
      <c r="U369" s="67"/>
      <c r="V369" s="67"/>
      <c r="W369" s="67"/>
      <c r="X369" s="67"/>
      <c r="Y369" s="67"/>
    </row>
    <row r="370" spans="2:25" ht="14.25">
      <c r="B370" s="15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15"/>
      <c r="N370" s="15"/>
      <c r="O370" s="15"/>
      <c r="P370" s="15"/>
      <c r="Q370" s="15"/>
      <c r="R370" s="15"/>
      <c r="S370" s="15"/>
      <c r="T370" s="67"/>
      <c r="U370" s="67"/>
      <c r="V370" s="67"/>
      <c r="W370" s="67"/>
      <c r="X370" s="67"/>
      <c r="Y370" s="67"/>
    </row>
    <row r="371" spans="2:25" ht="14.25">
      <c r="B371" s="15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15"/>
      <c r="N371" s="15"/>
      <c r="O371" s="15"/>
      <c r="P371" s="15"/>
      <c r="Q371" s="15"/>
      <c r="R371" s="15"/>
      <c r="S371" s="15"/>
      <c r="T371" s="67"/>
      <c r="U371" s="67"/>
      <c r="V371" s="67"/>
      <c r="W371" s="67"/>
      <c r="X371" s="67"/>
      <c r="Y371" s="67"/>
    </row>
    <row r="372" spans="2:25" ht="14.25">
      <c r="B372" s="15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15"/>
      <c r="N372" s="15"/>
      <c r="O372" s="15"/>
      <c r="P372" s="15"/>
      <c r="Q372" s="15"/>
      <c r="R372" s="15"/>
      <c r="S372" s="15"/>
      <c r="T372" s="67"/>
      <c r="U372" s="67"/>
      <c r="V372" s="67"/>
      <c r="W372" s="67"/>
      <c r="X372" s="67"/>
      <c r="Y372" s="67"/>
    </row>
    <row r="373" spans="2:25" ht="14.25">
      <c r="B373" s="15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15"/>
      <c r="N373" s="15"/>
      <c r="O373" s="15"/>
      <c r="P373" s="15"/>
      <c r="Q373" s="15"/>
      <c r="R373" s="15"/>
      <c r="S373" s="15"/>
      <c r="T373" s="67"/>
      <c r="U373" s="67"/>
      <c r="V373" s="67"/>
      <c r="W373" s="67"/>
      <c r="X373" s="67"/>
      <c r="Y373" s="67"/>
    </row>
    <row r="374" spans="2:25" ht="14.25">
      <c r="B374" s="15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15"/>
      <c r="N374" s="15"/>
      <c r="O374" s="15"/>
      <c r="P374" s="15"/>
      <c r="Q374" s="15"/>
      <c r="R374" s="15"/>
      <c r="S374" s="15"/>
      <c r="T374" s="67"/>
      <c r="U374" s="67"/>
      <c r="V374" s="67"/>
      <c r="W374" s="67"/>
      <c r="X374" s="67"/>
      <c r="Y374" s="67"/>
    </row>
    <row r="375" spans="2:25" ht="14.25">
      <c r="B375" s="15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15"/>
      <c r="N375" s="15"/>
      <c r="O375" s="15"/>
      <c r="P375" s="15"/>
      <c r="Q375" s="15"/>
      <c r="R375" s="15"/>
      <c r="S375" s="15"/>
      <c r="T375" s="67"/>
      <c r="U375" s="67"/>
      <c r="V375" s="67"/>
      <c r="W375" s="67"/>
      <c r="X375" s="67"/>
      <c r="Y375" s="67"/>
    </row>
    <row r="376" spans="2:25" ht="14.25">
      <c r="B376" s="15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15"/>
      <c r="N376" s="15"/>
      <c r="O376" s="15"/>
      <c r="P376" s="15"/>
      <c r="Q376" s="15"/>
      <c r="R376" s="15"/>
      <c r="S376" s="15"/>
      <c r="T376" s="67"/>
      <c r="U376" s="67"/>
      <c r="V376" s="67"/>
      <c r="W376" s="67"/>
      <c r="X376" s="67"/>
      <c r="Y376" s="67"/>
    </row>
    <row r="377" spans="2:25" ht="14.25">
      <c r="B377" s="15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15"/>
      <c r="N377" s="15"/>
      <c r="O377" s="15"/>
      <c r="P377" s="15"/>
      <c r="Q377" s="15"/>
      <c r="R377" s="15"/>
      <c r="S377" s="15"/>
      <c r="T377" s="67"/>
      <c r="U377" s="67"/>
      <c r="V377" s="67"/>
      <c r="W377" s="67"/>
      <c r="X377" s="67"/>
      <c r="Y377" s="67"/>
    </row>
    <row r="378" spans="2:25" ht="14.25">
      <c r="B378" s="15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15"/>
      <c r="N378" s="15"/>
      <c r="O378" s="15"/>
      <c r="P378" s="15"/>
      <c r="Q378" s="15"/>
      <c r="R378" s="15"/>
      <c r="S378" s="15"/>
      <c r="T378" s="67"/>
      <c r="U378" s="67"/>
      <c r="V378" s="67"/>
      <c r="W378" s="67"/>
      <c r="X378" s="67"/>
      <c r="Y378" s="67"/>
    </row>
    <row r="379" spans="2:25" ht="14.25">
      <c r="B379" s="15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15"/>
      <c r="N379" s="15"/>
      <c r="O379" s="15"/>
      <c r="P379" s="15"/>
      <c r="Q379" s="15"/>
      <c r="R379" s="15"/>
      <c r="S379" s="15"/>
      <c r="T379" s="67"/>
      <c r="U379" s="67"/>
      <c r="V379" s="67"/>
      <c r="W379" s="67"/>
      <c r="X379" s="67"/>
      <c r="Y379" s="67"/>
    </row>
    <row r="380" spans="2:25" ht="14.25">
      <c r="B380" s="15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15"/>
      <c r="N380" s="15"/>
      <c r="O380" s="15"/>
      <c r="P380" s="15"/>
      <c r="Q380" s="15"/>
      <c r="R380" s="15"/>
      <c r="S380" s="15"/>
      <c r="T380" s="67"/>
      <c r="U380" s="67"/>
      <c r="V380" s="67"/>
      <c r="W380" s="67"/>
      <c r="X380" s="67"/>
      <c r="Y380" s="67"/>
    </row>
    <row r="381" spans="2:25" ht="14.25">
      <c r="B381" s="15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15"/>
      <c r="N381" s="15"/>
      <c r="O381" s="15"/>
      <c r="P381" s="15"/>
      <c r="Q381" s="15"/>
      <c r="R381" s="15"/>
      <c r="S381" s="15"/>
      <c r="T381" s="67"/>
      <c r="U381" s="67"/>
      <c r="V381" s="67"/>
      <c r="W381" s="67"/>
      <c r="X381" s="67"/>
      <c r="Y381" s="67"/>
    </row>
    <row r="382" spans="2:25" ht="14.25">
      <c r="B382" s="15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15"/>
      <c r="N382" s="15"/>
      <c r="O382" s="15"/>
      <c r="P382" s="15"/>
      <c r="Q382" s="15"/>
      <c r="R382" s="15"/>
      <c r="S382" s="15"/>
      <c r="T382" s="67"/>
      <c r="U382" s="67"/>
      <c r="V382" s="67"/>
      <c r="W382" s="67"/>
      <c r="X382" s="67"/>
      <c r="Y382" s="67"/>
    </row>
    <row r="383" spans="2:25" ht="14.25">
      <c r="B383" s="15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15"/>
      <c r="N383" s="15"/>
      <c r="O383" s="15"/>
      <c r="P383" s="15"/>
      <c r="Q383" s="15"/>
      <c r="R383" s="15"/>
      <c r="S383" s="15"/>
      <c r="T383" s="67"/>
      <c r="U383" s="67"/>
      <c r="V383" s="67"/>
      <c r="W383" s="67"/>
      <c r="X383" s="67"/>
      <c r="Y383" s="67"/>
    </row>
    <row r="384" spans="2:25" ht="14.25">
      <c r="B384" s="15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15"/>
      <c r="N384" s="15"/>
      <c r="O384" s="15"/>
      <c r="P384" s="15"/>
      <c r="Q384" s="15"/>
      <c r="R384" s="15"/>
      <c r="S384" s="15"/>
      <c r="T384" s="67"/>
      <c r="U384" s="67"/>
      <c r="V384" s="67"/>
      <c r="W384" s="67"/>
      <c r="X384" s="67"/>
      <c r="Y384" s="67"/>
    </row>
    <row r="385" spans="2:25" ht="14.25">
      <c r="B385" s="15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15"/>
      <c r="N385" s="15"/>
      <c r="O385" s="15"/>
      <c r="P385" s="15"/>
      <c r="Q385" s="15"/>
      <c r="R385" s="15"/>
      <c r="S385" s="15"/>
      <c r="T385" s="67"/>
      <c r="U385" s="67"/>
      <c r="V385" s="67"/>
      <c r="W385" s="67"/>
      <c r="X385" s="67"/>
      <c r="Y385" s="67"/>
    </row>
    <row r="386" spans="2:25" ht="14.25">
      <c r="B386" s="15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15"/>
      <c r="N386" s="15"/>
      <c r="O386" s="15"/>
      <c r="P386" s="15"/>
      <c r="Q386" s="15"/>
      <c r="R386" s="15"/>
      <c r="S386" s="15"/>
      <c r="T386" s="67"/>
      <c r="U386" s="67"/>
      <c r="V386" s="67"/>
      <c r="W386" s="67"/>
      <c r="X386" s="67"/>
      <c r="Y386" s="67"/>
    </row>
    <row r="387" spans="2:25" ht="14.25">
      <c r="B387" s="15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15"/>
      <c r="N387" s="15"/>
      <c r="O387" s="15"/>
      <c r="P387" s="15"/>
      <c r="Q387" s="15"/>
      <c r="R387" s="15"/>
      <c r="S387" s="15"/>
      <c r="T387" s="67"/>
      <c r="U387" s="67"/>
      <c r="V387" s="67"/>
      <c r="W387" s="67"/>
      <c r="X387" s="67"/>
      <c r="Y387" s="67"/>
    </row>
    <row r="388" spans="2:25" ht="14.25">
      <c r="B388" s="15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15"/>
      <c r="N388" s="15"/>
      <c r="O388" s="15"/>
      <c r="P388" s="15"/>
      <c r="Q388" s="15"/>
      <c r="R388" s="15"/>
      <c r="S388" s="15"/>
      <c r="T388" s="67"/>
      <c r="U388" s="67"/>
      <c r="V388" s="67"/>
      <c r="W388" s="67"/>
      <c r="X388" s="67"/>
      <c r="Y388" s="67"/>
    </row>
    <row r="389" spans="2:25" ht="14.25">
      <c r="B389" s="15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15"/>
      <c r="N389" s="15"/>
      <c r="O389" s="15"/>
      <c r="P389" s="15"/>
      <c r="Q389" s="15"/>
      <c r="R389" s="15"/>
      <c r="S389" s="15"/>
      <c r="T389" s="67"/>
      <c r="U389" s="67"/>
      <c r="V389" s="67"/>
      <c r="W389" s="67"/>
      <c r="X389" s="67"/>
      <c r="Y389" s="67"/>
    </row>
    <row r="390" spans="2:25" ht="14.25">
      <c r="B390" s="15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15"/>
      <c r="N390" s="15"/>
      <c r="O390" s="15"/>
      <c r="P390" s="15"/>
      <c r="Q390" s="15"/>
      <c r="R390" s="15"/>
      <c r="S390" s="15"/>
      <c r="T390" s="67"/>
      <c r="U390" s="67"/>
      <c r="V390" s="67"/>
      <c r="W390" s="67"/>
      <c r="X390" s="67"/>
      <c r="Y390" s="67"/>
    </row>
    <row r="391" spans="2:25" ht="14.25">
      <c r="B391" s="15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15"/>
      <c r="N391" s="15"/>
      <c r="O391" s="15"/>
      <c r="P391" s="15"/>
      <c r="Q391" s="15"/>
      <c r="R391" s="15"/>
      <c r="S391" s="15"/>
      <c r="T391" s="67"/>
      <c r="U391" s="67"/>
      <c r="V391" s="67"/>
      <c r="W391" s="67"/>
      <c r="X391" s="67"/>
      <c r="Y391" s="67"/>
    </row>
    <row r="392" spans="2:25" ht="14.25">
      <c r="B392" s="15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15"/>
      <c r="N392" s="15"/>
      <c r="O392" s="15"/>
      <c r="P392" s="15"/>
      <c r="Q392" s="15"/>
      <c r="R392" s="15"/>
      <c r="S392" s="15"/>
      <c r="T392" s="67"/>
      <c r="U392" s="67"/>
      <c r="V392" s="67"/>
      <c r="W392" s="67"/>
      <c r="X392" s="67"/>
      <c r="Y392" s="67"/>
    </row>
    <row r="393" spans="2:25" ht="14.25">
      <c r="B393" s="15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15"/>
      <c r="N393" s="15"/>
      <c r="O393" s="15"/>
      <c r="P393" s="15"/>
      <c r="Q393" s="15"/>
      <c r="R393" s="15"/>
      <c r="S393" s="15"/>
      <c r="T393" s="67"/>
      <c r="U393" s="67"/>
      <c r="V393" s="67"/>
      <c r="W393" s="67"/>
      <c r="X393" s="67"/>
      <c r="Y393" s="67"/>
    </row>
    <row r="394" spans="2:25" ht="14.25">
      <c r="B394" s="15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15"/>
      <c r="N394" s="15"/>
      <c r="O394" s="15"/>
      <c r="P394" s="15"/>
      <c r="Q394" s="15"/>
      <c r="R394" s="15"/>
      <c r="S394" s="15"/>
      <c r="T394" s="67"/>
      <c r="U394" s="67"/>
      <c r="V394" s="67"/>
      <c r="W394" s="67"/>
      <c r="X394" s="67"/>
      <c r="Y394" s="67"/>
    </row>
    <row r="395" spans="2:25" ht="14.25">
      <c r="B395" s="15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15"/>
      <c r="N395" s="15"/>
      <c r="O395" s="15"/>
      <c r="P395" s="15"/>
      <c r="Q395" s="15"/>
      <c r="R395" s="15"/>
      <c r="S395" s="15"/>
      <c r="T395" s="67"/>
      <c r="U395" s="67"/>
      <c r="V395" s="67"/>
      <c r="W395" s="67"/>
      <c r="X395" s="67"/>
      <c r="Y395" s="67"/>
    </row>
    <row r="396" spans="2:25" ht="14.25">
      <c r="B396" s="15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15"/>
      <c r="N396" s="15"/>
      <c r="O396" s="15"/>
      <c r="P396" s="15"/>
      <c r="Q396" s="15"/>
      <c r="R396" s="15"/>
      <c r="S396" s="15"/>
      <c r="T396" s="67"/>
      <c r="U396" s="67"/>
      <c r="V396" s="67"/>
      <c r="W396" s="67"/>
      <c r="X396" s="67"/>
      <c r="Y396" s="67"/>
    </row>
    <row r="397" spans="2:25" ht="14.25">
      <c r="B397" s="15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15"/>
      <c r="N397" s="15"/>
      <c r="O397" s="15"/>
      <c r="P397" s="15"/>
      <c r="Q397" s="15"/>
      <c r="R397" s="15"/>
      <c r="S397" s="15"/>
      <c r="T397" s="67"/>
      <c r="U397" s="67"/>
      <c r="V397" s="67"/>
      <c r="W397" s="67"/>
      <c r="X397" s="67"/>
      <c r="Y397" s="67"/>
    </row>
    <row r="398" spans="2:25" ht="14.25">
      <c r="B398" s="15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15"/>
      <c r="N398" s="15"/>
      <c r="O398" s="15"/>
      <c r="P398" s="15"/>
      <c r="Q398" s="15"/>
      <c r="R398" s="15"/>
      <c r="S398" s="15"/>
      <c r="T398" s="67"/>
      <c r="U398" s="67"/>
      <c r="V398" s="67"/>
      <c r="W398" s="67"/>
      <c r="X398" s="67"/>
      <c r="Y398" s="67"/>
    </row>
    <row r="399" spans="2:25" ht="14.25">
      <c r="B399" s="15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15"/>
      <c r="N399" s="15"/>
      <c r="O399" s="15"/>
      <c r="P399" s="15"/>
      <c r="Q399" s="15"/>
      <c r="R399" s="15"/>
      <c r="S399" s="15"/>
      <c r="T399" s="67"/>
      <c r="U399" s="67"/>
      <c r="V399" s="67"/>
      <c r="W399" s="67"/>
      <c r="X399" s="67"/>
      <c r="Y399" s="67"/>
    </row>
    <row r="400" spans="2:25" ht="14.25">
      <c r="B400" s="15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15"/>
      <c r="N400" s="15"/>
      <c r="O400" s="15"/>
      <c r="P400" s="15"/>
      <c r="Q400" s="15"/>
      <c r="R400" s="15"/>
      <c r="S400" s="15"/>
      <c r="T400" s="67"/>
      <c r="U400" s="67"/>
      <c r="V400" s="67"/>
      <c r="W400" s="67"/>
      <c r="X400" s="67"/>
      <c r="Y400" s="67"/>
    </row>
    <row r="401" spans="2:25" ht="14.25">
      <c r="B401" s="15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15"/>
      <c r="N401" s="15"/>
      <c r="O401" s="15"/>
      <c r="P401" s="15"/>
      <c r="Q401" s="15"/>
      <c r="R401" s="15"/>
      <c r="S401" s="15"/>
      <c r="T401" s="67"/>
      <c r="U401" s="67"/>
      <c r="V401" s="67"/>
      <c r="W401" s="67"/>
      <c r="X401" s="67"/>
      <c r="Y401" s="67"/>
    </row>
    <row r="402" spans="2:25" ht="14.25">
      <c r="B402" s="15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15"/>
      <c r="N402" s="15"/>
      <c r="O402" s="15"/>
      <c r="P402" s="15"/>
      <c r="Q402" s="15"/>
      <c r="R402" s="15"/>
      <c r="S402" s="15"/>
      <c r="T402" s="67"/>
      <c r="U402" s="67"/>
      <c r="V402" s="67"/>
      <c r="W402" s="67"/>
      <c r="X402" s="67"/>
      <c r="Y402" s="67"/>
    </row>
    <row r="403" spans="2:25" ht="14.25">
      <c r="B403" s="15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15"/>
      <c r="N403" s="15"/>
      <c r="O403" s="15"/>
      <c r="P403" s="15"/>
      <c r="Q403" s="15"/>
      <c r="R403" s="15"/>
      <c r="S403" s="15"/>
      <c r="T403" s="67"/>
      <c r="U403" s="67"/>
      <c r="V403" s="67"/>
      <c r="W403" s="67"/>
      <c r="X403" s="67"/>
      <c r="Y403" s="67"/>
    </row>
    <row r="404" spans="2:25" ht="14.25">
      <c r="B404" s="15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15"/>
      <c r="N404" s="15"/>
      <c r="O404" s="15"/>
      <c r="P404" s="15"/>
      <c r="Q404" s="15"/>
      <c r="R404" s="15"/>
      <c r="S404" s="15"/>
      <c r="T404" s="67"/>
      <c r="U404" s="67"/>
      <c r="V404" s="67"/>
      <c r="W404" s="67"/>
      <c r="X404" s="67"/>
      <c r="Y404" s="67"/>
    </row>
    <row r="405" spans="2:25" ht="14.25">
      <c r="B405" s="15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15"/>
      <c r="N405" s="15"/>
      <c r="O405" s="15"/>
      <c r="P405" s="15"/>
      <c r="Q405" s="15"/>
      <c r="R405" s="15"/>
      <c r="S405" s="15"/>
      <c r="T405" s="67"/>
      <c r="U405" s="67"/>
      <c r="V405" s="67"/>
      <c r="W405" s="67"/>
      <c r="X405" s="67"/>
      <c r="Y405" s="67"/>
    </row>
    <row r="406" spans="2:25" ht="14.25">
      <c r="B406" s="15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15"/>
      <c r="N406" s="15"/>
      <c r="O406" s="15"/>
      <c r="P406" s="15"/>
      <c r="Q406" s="15"/>
      <c r="R406" s="15"/>
      <c r="S406" s="15"/>
      <c r="T406" s="67"/>
      <c r="U406" s="67"/>
      <c r="V406" s="67"/>
      <c r="W406" s="67"/>
      <c r="X406" s="67"/>
      <c r="Y406" s="67"/>
    </row>
    <row r="407" spans="2:25" ht="14.25">
      <c r="B407" s="15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15"/>
      <c r="N407" s="15"/>
      <c r="O407" s="15"/>
      <c r="P407" s="15"/>
      <c r="Q407" s="15"/>
      <c r="R407" s="15"/>
      <c r="S407" s="15"/>
      <c r="T407" s="67"/>
      <c r="U407" s="67"/>
      <c r="V407" s="67"/>
      <c r="W407" s="67"/>
      <c r="X407" s="67"/>
      <c r="Y407" s="67"/>
    </row>
    <row r="408" spans="2:25" ht="14.25">
      <c r="B408" s="15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15"/>
      <c r="N408" s="15"/>
      <c r="O408" s="15"/>
      <c r="P408" s="15"/>
      <c r="Q408" s="15"/>
      <c r="R408" s="15"/>
      <c r="S408" s="15"/>
      <c r="T408" s="67"/>
      <c r="U408" s="67"/>
      <c r="V408" s="67"/>
      <c r="W408" s="67"/>
      <c r="X408" s="67"/>
      <c r="Y408" s="67"/>
    </row>
    <row r="409" spans="2:25" ht="14.25">
      <c r="B409" s="15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15"/>
      <c r="N409" s="15"/>
      <c r="O409" s="15"/>
      <c r="P409" s="15"/>
      <c r="Q409" s="15"/>
      <c r="R409" s="15"/>
      <c r="S409" s="15"/>
      <c r="T409" s="67"/>
      <c r="U409" s="67"/>
      <c r="V409" s="67"/>
      <c r="W409" s="67"/>
      <c r="X409" s="67"/>
      <c r="Y409" s="67"/>
    </row>
    <row r="410" spans="2:25" ht="14.25">
      <c r="B410" s="15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15"/>
      <c r="N410" s="15"/>
      <c r="O410" s="15"/>
      <c r="P410" s="15"/>
      <c r="Q410" s="15"/>
      <c r="R410" s="15"/>
      <c r="S410" s="15"/>
      <c r="T410" s="67"/>
      <c r="U410" s="67"/>
      <c r="V410" s="67"/>
      <c r="W410" s="67"/>
      <c r="X410" s="67"/>
      <c r="Y410" s="67"/>
    </row>
    <row r="411" spans="2:25" ht="14.25">
      <c r="B411" s="15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15"/>
      <c r="N411" s="15"/>
      <c r="O411" s="15"/>
      <c r="P411" s="15"/>
      <c r="Q411" s="15"/>
      <c r="R411" s="15"/>
      <c r="S411" s="15"/>
      <c r="T411" s="67"/>
      <c r="U411" s="67"/>
      <c r="V411" s="67"/>
      <c r="W411" s="67"/>
      <c r="X411" s="67"/>
      <c r="Y411" s="67"/>
    </row>
    <row r="412" spans="2:25" ht="14.25">
      <c r="B412" s="15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15"/>
      <c r="N412" s="15"/>
      <c r="O412" s="15"/>
      <c r="P412" s="15"/>
      <c r="Q412" s="15"/>
      <c r="R412" s="15"/>
      <c r="S412" s="15"/>
      <c r="T412" s="67"/>
      <c r="U412" s="67"/>
      <c r="V412" s="67"/>
      <c r="W412" s="67"/>
      <c r="X412" s="67"/>
      <c r="Y412" s="67"/>
    </row>
    <row r="413" spans="2:25" ht="14.25">
      <c r="B413" s="15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15"/>
      <c r="N413" s="15"/>
      <c r="O413" s="15"/>
      <c r="P413" s="15"/>
      <c r="Q413" s="15"/>
      <c r="R413" s="15"/>
      <c r="S413" s="15"/>
      <c r="T413" s="67"/>
      <c r="U413" s="67"/>
      <c r="V413" s="67"/>
      <c r="W413" s="67"/>
      <c r="X413" s="67"/>
      <c r="Y413" s="67"/>
    </row>
    <row r="414" spans="2:25" ht="14.25">
      <c r="B414" s="15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15"/>
      <c r="N414" s="15"/>
      <c r="O414" s="15"/>
      <c r="P414" s="15"/>
      <c r="Q414" s="15"/>
      <c r="R414" s="15"/>
      <c r="S414" s="15"/>
      <c r="T414" s="67"/>
      <c r="U414" s="67"/>
      <c r="V414" s="67"/>
      <c r="W414" s="67"/>
      <c r="X414" s="67"/>
      <c r="Y414" s="67"/>
    </row>
    <row r="415" spans="2:25" ht="14.25">
      <c r="B415" s="15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15"/>
      <c r="N415" s="15"/>
      <c r="O415" s="15"/>
      <c r="P415" s="15"/>
      <c r="Q415" s="15"/>
      <c r="R415" s="15"/>
      <c r="S415" s="15"/>
      <c r="T415" s="67"/>
      <c r="U415" s="67"/>
      <c r="V415" s="67"/>
      <c r="W415" s="67"/>
      <c r="X415" s="67"/>
      <c r="Y415" s="67"/>
    </row>
    <row r="416" spans="2:25" ht="14.25">
      <c r="B416" s="15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15"/>
      <c r="N416" s="15"/>
      <c r="O416" s="15"/>
      <c r="P416" s="15"/>
      <c r="Q416" s="15"/>
      <c r="R416" s="15"/>
      <c r="S416" s="15"/>
      <c r="T416" s="67"/>
      <c r="U416" s="67"/>
      <c r="V416" s="67"/>
      <c r="W416" s="67"/>
      <c r="X416" s="67"/>
      <c r="Y416" s="67"/>
    </row>
    <row r="417" spans="2:25" ht="14.25">
      <c r="B417" s="15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15"/>
      <c r="N417" s="15"/>
      <c r="O417" s="15"/>
      <c r="P417" s="15"/>
      <c r="Q417" s="15"/>
      <c r="R417" s="15"/>
      <c r="S417" s="15"/>
      <c r="T417" s="67"/>
      <c r="U417" s="67"/>
      <c r="V417" s="67"/>
      <c r="W417" s="67"/>
      <c r="X417" s="67"/>
      <c r="Y417" s="67"/>
    </row>
    <row r="418" spans="2:25" ht="14.25">
      <c r="B418" s="15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15"/>
      <c r="N418" s="15"/>
      <c r="O418" s="15"/>
      <c r="P418" s="15"/>
      <c r="Q418" s="15"/>
      <c r="R418" s="15"/>
      <c r="S418" s="15"/>
      <c r="T418" s="67"/>
      <c r="U418" s="67"/>
      <c r="V418" s="67"/>
      <c r="W418" s="67"/>
      <c r="X418" s="67"/>
      <c r="Y418" s="67"/>
    </row>
    <row r="419" spans="2:25" ht="14.25">
      <c r="B419" s="15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15"/>
      <c r="N419" s="15"/>
      <c r="O419" s="15"/>
      <c r="P419" s="15"/>
      <c r="Q419" s="15"/>
      <c r="R419" s="15"/>
      <c r="S419" s="15"/>
      <c r="T419" s="67"/>
      <c r="U419" s="67"/>
      <c r="V419" s="67"/>
      <c r="W419" s="67"/>
      <c r="X419" s="67"/>
      <c r="Y419" s="67"/>
    </row>
    <row r="420" spans="2:25" ht="14.25">
      <c r="B420" s="15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15"/>
      <c r="N420" s="15"/>
      <c r="O420" s="15"/>
      <c r="P420" s="15"/>
      <c r="Q420" s="15"/>
      <c r="R420" s="15"/>
      <c r="S420" s="15"/>
      <c r="T420" s="67"/>
      <c r="U420" s="67"/>
      <c r="V420" s="67"/>
      <c r="W420" s="67"/>
      <c r="X420" s="67"/>
      <c r="Y420" s="67"/>
    </row>
    <row r="421" spans="2:25" ht="14.25">
      <c r="B421" s="15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15"/>
      <c r="N421" s="15"/>
      <c r="O421" s="15"/>
      <c r="P421" s="15"/>
      <c r="Q421" s="15"/>
      <c r="R421" s="15"/>
      <c r="S421" s="15"/>
      <c r="T421" s="67"/>
      <c r="U421" s="67"/>
      <c r="V421" s="67"/>
      <c r="W421" s="67"/>
      <c r="X421" s="67"/>
      <c r="Y421" s="67"/>
    </row>
    <row r="422" spans="2:25" ht="14.25">
      <c r="B422" s="15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15"/>
      <c r="N422" s="15"/>
      <c r="O422" s="15"/>
      <c r="P422" s="15"/>
      <c r="Q422" s="15"/>
      <c r="R422" s="15"/>
      <c r="S422" s="15"/>
      <c r="T422" s="67"/>
      <c r="U422" s="67"/>
      <c r="V422" s="67"/>
      <c r="W422" s="67"/>
      <c r="X422" s="67"/>
      <c r="Y422" s="67"/>
    </row>
    <row r="423" spans="2:25" ht="14.25">
      <c r="B423" s="15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15"/>
      <c r="N423" s="15"/>
      <c r="O423" s="15"/>
      <c r="P423" s="15"/>
      <c r="Q423" s="15"/>
      <c r="R423" s="15"/>
      <c r="S423" s="15"/>
      <c r="T423" s="67"/>
      <c r="U423" s="67"/>
      <c r="V423" s="67"/>
      <c r="W423" s="67"/>
      <c r="X423" s="67"/>
      <c r="Y423" s="67"/>
    </row>
    <row r="424" spans="2:25" ht="14.25">
      <c r="B424" s="15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15"/>
      <c r="N424" s="15"/>
      <c r="O424" s="15"/>
      <c r="P424" s="15"/>
      <c r="Q424" s="15"/>
      <c r="R424" s="15"/>
      <c r="S424" s="15"/>
      <c r="T424" s="67"/>
      <c r="U424" s="67"/>
      <c r="V424" s="67"/>
      <c r="W424" s="67"/>
      <c r="X424" s="67"/>
      <c r="Y424" s="67"/>
    </row>
    <row r="425" spans="2:25" ht="14.25">
      <c r="B425" s="15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15"/>
      <c r="N425" s="15"/>
      <c r="O425" s="15"/>
      <c r="P425" s="15"/>
      <c r="Q425" s="15"/>
      <c r="R425" s="15"/>
      <c r="S425" s="15"/>
      <c r="T425" s="67"/>
      <c r="U425" s="67"/>
      <c r="V425" s="67"/>
      <c r="W425" s="67"/>
      <c r="X425" s="67"/>
      <c r="Y425" s="67"/>
    </row>
    <row r="426" spans="2:25" ht="14.25">
      <c r="B426" s="15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15"/>
      <c r="N426" s="15"/>
      <c r="O426" s="15"/>
      <c r="P426" s="15"/>
      <c r="Q426" s="15"/>
      <c r="R426" s="15"/>
      <c r="S426" s="15"/>
      <c r="T426" s="67"/>
      <c r="U426" s="67"/>
      <c r="V426" s="67"/>
      <c r="W426" s="67"/>
      <c r="X426" s="67"/>
      <c r="Y426" s="67"/>
    </row>
    <row r="427" spans="2:25" ht="14.25">
      <c r="B427" s="15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15"/>
      <c r="N427" s="15"/>
      <c r="O427" s="15"/>
      <c r="P427" s="15"/>
      <c r="Q427" s="15"/>
      <c r="R427" s="15"/>
      <c r="S427" s="15"/>
      <c r="T427" s="67"/>
      <c r="U427" s="67"/>
      <c r="V427" s="67"/>
      <c r="W427" s="67"/>
      <c r="X427" s="67"/>
      <c r="Y427" s="67"/>
    </row>
    <row r="428" spans="2:25" ht="14.25">
      <c r="B428" s="15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15"/>
      <c r="N428" s="15"/>
      <c r="O428" s="15"/>
      <c r="P428" s="15"/>
      <c r="Q428" s="15"/>
      <c r="R428" s="15"/>
      <c r="S428" s="15"/>
      <c r="T428" s="67"/>
      <c r="U428" s="67"/>
      <c r="V428" s="67"/>
      <c r="W428" s="67"/>
      <c r="X428" s="67"/>
      <c r="Y428" s="67"/>
    </row>
    <row r="429" spans="2:25" ht="14.25">
      <c r="B429" s="15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15"/>
      <c r="N429" s="15"/>
      <c r="O429" s="15"/>
      <c r="P429" s="15"/>
      <c r="Q429" s="15"/>
      <c r="R429" s="15"/>
      <c r="S429" s="15"/>
      <c r="T429" s="67"/>
      <c r="U429" s="67"/>
      <c r="V429" s="67"/>
      <c r="W429" s="67"/>
      <c r="X429" s="67"/>
      <c r="Y429" s="67"/>
    </row>
    <row r="430" spans="2:25" ht="14.25">
      <c r="B430" s="15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15"/>
      <c r="N430" s="15"/>
      <c r="O430" s="15"/>
      <c r="P430" s="15"/>
      <c r="Q430" s="15"/>
      <c r="R430" s="15"/>
      <c r="S430" s="15"/>
      <c r="T430" s="67"/>
      <c r="U430" s="67"/>
      <c r="V430" s="67"/>
      <c r="W430" s="67"/>
      <c r="X430" s="67"/>
      <c r="Y430" s="67"/>
    </row>
    <row r="431" spans="2:25" ht="14.25">
      <c r="B431" s="15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15"/>
      <c r="N431" s="15"/>
      <c r="O431" s="15"/>
      <c r="P431" s="15"/>
      <c r="Q431" s="15"/>
      <c r="R431" s="15"/>
      <c r="S431" s="15"/>
      <c r="T431" s="67"/>
      <c r="U431" s="67"/>
      <c r="V431" s="67"/>
      <c r="W431" s="67"/>
      <c r="X431" s="67"/>
      <c r="Y431" s="67"/>
    </row>
    <row r="432" spans="2:25" ht="14.25">
      <c r="B432" s="15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15"/>
      <c r="N432" s="15"/>
      <c r="O432" s="15"/>
      <c r="P432" s="15"/>
      <c r="Q432" s="15"/>
      <c r="R432" s="15"/>
      <c r="S432" s="15"/>
      <c r="T432" s="67"/>
      <c r="U432" s="67"/>
      <c r="V432" s="67"/>
      <c r="W432" s="67"/>
      <c r="X432" s="67"/>
      <c r="Y432" s="67"/>
    </row>
    <row r="433" spans="2:25" ht="14.25">
      <c r="B433" s="15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15"/>
      <c r="N433" s="15"/>
      <c r="O433" s="15"/>
      <c r="P433" s="15"/>
      <c r="Q433" s="15"/>
      <c r="R433" s="15"/>
      <c r="S433" s="15"/>
      <c r="T433" s="67"/>
      <c r="U433" s="67"/>
      <c r="V433" s="67"/>
      <c r="W433" s="67"/>
      <c r="X433" s="67"/>
      <c r="Y433" s="67"/>
    </row>
    <row r="434" spans="2:25" ht="14.25">
      <c r="B434" s="15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15"/>
      <c r="N434" s="15"/>
      <c r="O434" s="15"/>
      <c r="P434" s="15"/>
      <c r="Q434" s="15"/>
      <c r="R434" s="15"/>
      <c r="S434" s="15"/>
      <c r="T434" s="67"/>
      <c r="U434" s="67"/>
      <c r="V434" s="67"/>
      <c r="W434" s="67"/>
      <c r="X434" s="67"/>
      <c r="Y434" s="67"/>
    </row>
    <row r="435" spans="2:25" ht="14.25">
      <c r="B435" s="15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15"/>
      <c r="N435" s="15"/>
      <c r="O435" s="15"/>
      <c r="P435" s="15"/>
      <c r="Q435" s="15"/>
      <c r="R435" s="15"/>
      <c r="S435" s="15"/>
      <c r="T435" s="67"/>
      <c r="U435" s="67"/>
      <c r="V435" s="67"/>
      <c r="W435" s="67"/>
      <c r="X435" s="67"/>
      <c r="Y435" s="67"/>
    </row>
    <row r="436" spans="2:25" ht="14.25">
      <c r="B436" s="15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15"/>
      <c r="N436" s="15"/>
      <c r="O436" s="15"/>
      <c r="P436" s="15"/>
      <c r="Q436" s="15"/>
      <c r="R436" s="15"/>
      <c r="S436" s="15"/>
      <c r="T436" s="67"/>
      <c r="U436" s="67"/>
      <c r="V436" s="67"/>
      <c r="W436" s="67"/>
      <c r="X436" s="67"/>
      <c r="Y436" s="67"/>
    </row>
    <row r="437" spans="2:25" ht="14.25">
      <c r="B437" s="15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15"/>
      <c r="N437" s="15"/>
      <c r="O437" s="15"/>
      <c r="P437" s="15"/>
      <c r="Q437" s="15"/>
      <c r="R437" s="15"/>
      <c r="S437" s="15"/>
      <c r="T437" s="67"/>
      <c r="U437" s="67"/>
      <c r="V437" s="67"/>
      <c r="W437" s="67"/>
      <c r="X437" s="67"/>
      <c r="Y437" s="67"/>
    </row>
    <row r="438" spans="2:25" ht="14.25">
      <c r="B438" s="15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15"/>
      <c r="N438" s="15"/>
      <c r="O438" s="15"/>
      <c r="P438" s="15"/>
      <c r="Q438" s="15"/>
      <c r="R438" s="15"/>
      <c r="S438" s="15"/>
      <c r="T438" s="67"/>
      <c r="U438" s="67"/>
      <c r="V438" s="67"/>
      <c r="W438" s="67"/>
      <c r="X438" s="67"/>
      <c r="Y438" s="67"/>
    </row>
    <row r="439" spans="2:25" ht="14.25">
      <c r="B439" s="15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15"/>
      <c r="N439" s="15"/>
      <c r="O439" s="15"/>
      <c r="P439" s="15"/>
      <c r="Q439" s="15"/>
      <c r="R439" s="15"/>
      <c r="S439" s="15"/>
      <c r="T439" s="67"/>
      <c r="U439" s="67"/>
      <c r="V439" s="67"/>
      <c r="W439" s="67"/>
      <c r="X439" s="67"/>
      <c r="Y439" s="67"/>
    </row>
    <row r="440" spans="2:25" ht="14.25">
      <c r="B440" s="15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15"/>
      <c r="N440" s="15"/>
      <c r="O440" s="15"/>
      <c r="P440" s="15"/>
      <c r="Q440" s="15"/>
      <c r="R440" s="15"/>
      <c r="S440" s="15"/>
      <c r="T440" s="67"/>
      <c r="U440" s="67"/>
      <c r="V440" s="67"/>
      <c r="W440" s="67"/>
      <c r="X440" s="67"/>
      <c r="Y440" s="67"/>
    </row>
    <row r="441" spans="2:25" ht="14.25">
      <c r="B441" s="15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15"/>
      <c r="N441" s="15"/>
      <c r="O441" s="15"/>
      <c r="P441" s="15"/>
      <c r="Q441" s="15"/>
      <c r="R441" s="15"/>
      <c r="S441" s="15"/>
      <c r="T441" s="67"/>
      <c r="U441" s="67"/>
      <c r="V441" s="67"/>
      <c r="W441" s="67"/>
      <c r="X441" s="67"/>
      <c r="Y441" s="67"/>
    </row>
    <row r="442" spans="2:25" ht="14.25">
      <c r="B442" s="15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15"/>
      <c r="N442" s="15"/>
      <c r="O442" s="15"/>
      <c r="P442" s="15"/>
      <c r="Q442" s="15"/>
      <c r="R442" s="15"/>
      <c r="S442" s="15"/>
      <c r="T442" s="67"/>
      <c r="U442" s="67"/>
      <c r="V442" s="67"/>
      <c r="W442" s="67"/>
      <c r="X442" s="67"/>
      <c r="Y442" s="67"/>
    </row>
    <row r="443" spans="2:25" ht="14.25">
      <c r="B443" s="15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15"/>
      <c r="N443" s="15"/>
      <c r="O443" s="15"/>
      <c r="P443" s="15"/>
      <c r="Q443" s="15"/>
      <c r="R443" s="15"/>
      <c r="S443" s="15"/>
      <c r="T443" s="67"/>
      <c r="U443" s="67"/>
      <c r="V443" s="67"/>
      <c r="W443" s="67"/>
      <c r="X443" s="67"/>
      <c r="Y443" s="67"/>
    </row>
    <row r="444" spans="2:25" ht="14.25">
      <c r="B444" s="15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15"/>
      <c r="N444" s="15"/>
      <c r="O444" s="15"/>
      <c r="P444" s="15"/>
      <c r="Q444" s="15"/>
      <c r="R444" s="15"/>
      <c r="S444" s="15"/>
      <c r="T444" s="67"/>
      <c r="U444" s="67"/>
      <c r="V444" s="67"/>
      <c r="W444" s="67"/>
      <c r="X444" s="67"/>
      <c r="Y444" s="67"/>
    </row>
    <row r="445" spans="2:25" ht="14.25">
      <c r="B445" s="15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15"/>
      <c r="N445" s="15"/>
      <c r="O445" s="15"/>
      <c r="P445" s="15"/>
      <c r="Q445" s="15"/>
      <c r="R445" s="15"/>
      <c r="S445" s="15"/>
      <c r="T445" s="67"/>
      <c r="U445" s="67"/>
      <c r="V445" s="67"/>
      <c r="W445" s="67"/>
      <c r="X445" s="67"/>
      <c r="Y445" s="67"/>
    </row>
    <row r="446" spans="2:25" ht="14.25">
      <c r="B446" s="15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15"/>
      <c r="N446" s="15"/>
      <c r="O446" s="15"/>
      <c r="P446" s="15"/>
      <c r="Q446" s="15"/>
      <c r="R446" s="15"/>
      <c r="S446" s="15"/>
      <c r="T446" s="67"/>
      <c r="U446" s="67"/>
      <c r="V446" s="67"/>
      <c r="W446" s="67"/>
      <c r="X446" s="67"/>
      <c r="Y446" s="67"/>
    </row>
    <row r="447" spans="2:25" ht="14.25">
      <c r="B447" s="15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15"/>
      <c r="N447" s="15"/>
      <c r="O447" s="15"/>
      <c r="P447" s="15"/>
      <c r="Q447" s="15"/>
      <c r="R447" s="15"/>
      <c r="S447" s="15"/>
      <c r="T447" s="67"/>
      <c r="U447" s="67"/>
      <c r="V447" s="67"/>
      <c r="W447" s="67"/>
      <c r="X447" s="67"/>
      <c r="Y447" s="67"/>
    </row>
    <row r="448" spans="2:25" ht="14.25">
      <c r="B448" s="15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15"/>
      <c r="N448" s="15"/>
      <c r="O448" s="15"/>
      <c r="P448" s="15"/>
      <c r="Q448" s="15"/>
      <c r="R448" s="15"/>
      <c r="S448" s="15"/>
      <c r="T448" s="67"/>
      <c r="U448" s="67"/>
      <c r="V448" s="67"/>
      <c r="W448" s="67"/>
      <c r="X448" s="67"/>
      <c r="Y448" s="67"/>
    </row>
    <row r="449" spans="2:25" ht="14.25">
      <c r="B449" s="15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15"/>
      <c r="N449" s="15"/>
      <c r="O449" s="15"/>
      <c r="P449" s="15"/>
      <c r="Q449" s="15"/>
      <c r="R449" s="15"/>
      <c r="S449" s="15"/>
      <c r="T449" s="67"/>
      <c r="U449" s="67"/>
      <c r="V449" s="67"/>
      <c r="W449" s="67"/>
      <c r="X449" s="67"/>
      <c r="Y449" s="67"/>
    </row>
    <row r="450" spans="2:25" ht="14.25">
      <c r="B450" s="15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15"/>
      <c r="N450" s="15"/>
      <c r="O450" s="15"/>
      <c r="P450" s="15"/>
      <c r="Q450" s="15"/>
      <c r="R450" s="15"/>
      <c r="S450" s="15"/>
      <c r="T450" s="67"/>
      <c r="U450" s="67"/>
      <c r="V450" s="67"/>
      <c r="W450" s="67"/>
      <c r="X450" s="67"/>
      <c r="Y450" s="67"/>
    </row>
    <row r="451" spans="2:25" ht="14.25">
      <c r="B451" s="15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15"/>
      <c r="N451" s="15"/>
      <c r="O451" s="15"/>
      <c r="P451" s="15"/>
      <c r="Q451" s="15"/>
      <c r="R451" s="15"/>
      <c r="S451" s="15"/>
      <c r="T451" s="67"/>
      <c r="U451" s="67"/>
      <c r="V451" s="67"/>
      <c r="W451" s="67"/>
      <c r="X451" s="67"/>
      <c r="Y451" s="67"/>
    </row>
    <row r="452" spans="2:25" ht="14.25">
      <c r="B452" s="15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15"/>
      <c r="N452" s="15"/>
      <c r="O452" s="15"/>
      <c r="P452" s="15"/>
      <c r="Q452" s="15"/>
      <c r="R452" s="15"/>
      <c r="S452" s="15"/>
      <c r="T452" s="67"/>
      <c r="U452" s="67"/>
      <c r="V452" s="67"/>
      <c r="W452" s="67"/>
      <c r="X452" s="67"/>
      <c r="Y452" s="67"/>
    </row>
    <row r="453" spans="2:25" ht="14.25">
      <c r="B453" s="15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15"/>
      <c r="N453" s="15"/>
      <c r="O453" s="15"/>
      <c r="P453" s="15"/>
      <c r="Q453" s="15"/>
      <c r="R453" s="15"/>
      <c r="S453" s="15"/>
      <c r="T453" s="67"/>
      <c r="U453" s="67"/>
      <c r="V453" s="67"/>
      <c r="W453" s="67"/>
      <c r="X453" s="67"/>
      <c r="Y453" s="67"/>
    </row>
    <row r="454" spans="2:25" ht="14.25">
      <c r="B454" s="15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15"/>
      <c r="N454" s="15"/>
      <c r="O454" s="15"/>
      <c r="P454" s="15"/>
      <c r="Q454" s="15"/>
      <c r="R454" s="15"/>
      <c r="S454" s="15"/>
      <c r="T454" s="67"/>
      <c r="U454" s="67"/>
      <c r="V454" s="67"/>
      <c r="W454" s="67"/>
      <c r="X454" s="67"/>
      <c r="Y454" s="67"/>
    </row>
    <row r="455" spans="2:25" ht="14.25">
      <c r="B455" s="15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15"/>
      <c r="N455" s="15"/>
      <c r="O455" s="15"/>
      <c r="P455" s="15"/>
      <c r="Q455" s="15"/>
      <c r="R455" s="15"/>
      <c r="S455" s="15"/>
      <c r="T455" s="67"/>
      <c r="U455" s="67"/>
      <c r="V455" s="67"/>
      <c r="W455" s="67"/>
      <c r="X455" s="67"/>
      <c r="Y455" s="67"/>
    </row>
    <row r="456" spans="2:25" ht="14.25">
      <c r="B456" s="15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15"/>
      <c r="N456" s="15"/>
      <c r="O456" s="15"/>
      <c r="P456" s="15"/>
      <c r="Q456" s="15"/>
      <c r="R456" s="15"/>
      <c r="S456" s="15"/>
      <c r="T456" s="67"/>
      <c r="U456" s="67"/>
      <c r="V456" s="67"/>
      <c r="W456" s="67"/>
      <c r="X456" s="67"/>
      <c r="Y456" s="67"/>
    </row>
    <row r="457" spans="2:25" ht="14.25">
      <c r="B457" s="15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15"/>
      <c r="N457" s="15"/>
      <c r="O457" s="15"/>
      <c r="P457" s="15"/>
      <c r="Q457" s="15"/>
      <c r="R457" s="15"/>
      <c r="S457" s="15"/>
      <c r="T457" s="67"/>
      <c r="U457" s="67"/>
      <c r="V457" s="67"/>
      <c r="W457" s="67"/>
      <c r="X457" s="67"/>
      <c r="Y457" s="67"/>
    </row>
    <row r="458" spans="2:25" ht="14.25">
      <c r="B458" s="15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15"/>
      <c r="N458" s="15"/>
      <c r="O458" s="15"/>
      <c r="P458" s="15"/>
      <c r="Q458" s="15"/>
      <c r="R458" s="15"/>
      <c r="S458" s="15"/>
      <c r="T458" s="67"/>
      <c r="U458" s="67"/>
      <c r="V458" s="67"/>
      <c r="W458" s="67"/>
      <c r="X458" s="67"/>
      <c r="Y458" s="67"/>
    </row>
    <row r="459" spans="2:25" ht="14.25">
      <c r="B459" s="15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15"/>
      <c r="N459" s="15"/>
      <c r="O459" s="15"/>
      <c r="P459" s="15"/>
      <c r="Q459" s="15"/>
      <c r="R459" s="15"/>
      <c r="S459" s="15"/>
      <c r="T459" s="67"/>
      <c r="U459" s="67"/>
      <c r="V459" s="67"/>
      <c r="W459" s="67"/>
      <c r="X459" s="67"/>
      <c r="Y459" s="67"/>
    </row>
    <row r="460" spans="2:25" ht="14.25">
      <c r="B460" s="15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15"/>
      <c r="N460" s="15"/>
      <c r="O460" s="15"/>
      <c r="P460" s="15"/>
      <c r="Q460" s="15"/>
      <c r="R460" s="15"/>
      <c r="S460" s="15"/>
      <c r="T460" s="67"/>
      <c r="U460" s="67"/>
      <c r="V460" s="67"/>
      <c r="W460" s="67"/>
      <c r="X460" s="67"/>
      <c r="Y460" s="67"/>
    </row>
    <row r="461" spans="2:25" ht="14.25">
      <c r="B461" s="15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15"/>
      <c r="N461" s="15"/>
      <c r="O461" s="15"/>
      <c r="P461" s="15"/>
      <c r="Q461" s="15"/>
      <c r="R461" s="15"/>
      <c r="S461" s="15"/>
      <c r="T461" s="67"/>
      <c r="U461" s="67"/>
      <c r="V461" s="67"/>
      <c r="W461" s="67"/>
      <c r="X461" s="67"/>
      <c r="Y461" s="67"/>
    </row>
    <row r="462" spans="2:25" ht="14.25">
      <c r="B462" s="15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15"/>
      <c r="N462" s="15"/>
      <c r="O462" s="15"/>
      <c r="P462" s="15"/>
      <c r="Q462" s="15"/>
      <c r="R462" s="15"/>
      <c r="S462" s="15"/>
      <c r="T462" s="67"/>
      <c r="U462" s="67"/>
      <c r="V462" s="67"/>
      <c r="W462" s="67"/>
      <c r="X462" s="67"/>
      <c r="Y462" s="67"/>
    </row>
    <row r="463" spans="2:25" ht="14.25">
      <c r="B463" s="15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15"/>
      <c r="N463" s="15"/>
      <c r="O463" s="15"/>
      <c r="P463" s="15"/>
      <c r="Q463" s="15"/>
      <c r="R463" s="15"/>
      <c r="S463" s="15"/>
      <c r="T463" s="67"/>
      <c r="U463" s="67"/>
      <c r="V463" s="67"/>
      <c r="W463" s="67"/>
      <c r="X463" s="67"/>
      <c r="Y463" s="67"/>
    </row>
    <row r="464" spans="2:25" ht="14.25">
      <c r="B464" s="15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15"/>
      <c r="N464" s="15"/>
      <c r="O464" s="15"/>
      <c r="P464" s="15"/>
      <c r="Q464" s="15"/>
      <c r="R464" s="15"/>
      <c r="S464" s="15"/>
      <c r="T464" s="67"/>
      <c r="U464" s="67"/>
      <c r="V464" s="67"/>
      <c r="W464" s="67"/>
      <c r="X464" s="67"/>
      <c r="Y464" s="67"/>
    </row>
    <row r="465" spans="2:25" ht="14.25">
      <c r="B465" s="15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15"/>
      <c r="N465" s="15"/>
      <c r="O465" s="15"/>
      <c r="P465" s="15"/>
      <c r="Q465" s="15"/>
      <c r="R465" s="15"/>
      <c r="S465" s="15"/>
      <c r="T465" s="67"/>
      <c r="U465" s="67"/>
      <c r="V465" s="67"/>
      <c r="W465" s="67"/>
      <c r="X465" s="67"/>
      <c r="Y465" s="67"/>
    </row>
    <row r="466" spans="2:25" ht="14.25">
      <c r="B466" s="15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15"/>
      <c r="N466" s="15"/>
      <c r="O466" s="15"/>
      <c r="P466" s="15"/>
      <c r="Q466" s="15"/>
      <c r="R466" s="15"/>
      <c r="S466" s="15"/>
      <c r="T466" s="67"/>
      <c r="U466" s="67"/>
      <c r="V466" s="67"/>
      <c r="W466" s="67"/>
      <c r="X466" s="67"/>
      <c r="Y466" s="67"/>
    </row>
    <row r="467" spans="2:25" ht="14.25">
      <c r="B467" s="15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15"/>
      <c r="N467" s="15"/>
      <c r="O467" s="15"/>
      <c r="P467" s="15"/>
      <c r="Q467" s="15"/>
      <c r="R467" s="15"/>
      <c r="S467" s="15"/>
      <c r="T467" s="67"/>
      <c r="U467" s="67"/>
      <c r="V467" s="67"/>
      <c r="W467" s="67"/>
      <c r="X467" s="67"/>
      <c r="Y467" s="67"/>
    </row>
    <row r="468" spans="2:25" ht="14.25">
      <c r="B468" s="15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15"/>
      <c r="N468" s="15"/>
      <c r="O468" s="15"/>
      <c r="P468" s="15"/>
      <c r="Q468" s="15"/>
      <c r="R468" s="15"/>
      <c r="S468" s="15"/>
      <c r="T468" s="67"/>
      <c r="U468" s="67"/>
      <c r="V468" s="67"/>
      <c r="W468" s="67"/>
      <c r="X468" s="67"/>
      <c r="Y468" s="67"/>
    </row>
    <row r="469" spans="2:25" ht="14.25">
      <c r="B469" s="15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15"/>
      <c r="N469" s="15"/>
      <c r="O469" s="15"/>
      <c r="P469" s="15"/>
      <c r="Q469" s="15"/>
      <c r="R469" s="15"/>
      <c r="S469" s="15"/>
      <c r="T469" s="67"/>
      <c r="U469" s="67"/>
      <c r="V469" s="67"/>
      <c r="W469" s="67"/>
      <c r="X469" s="67"/>
      <c r="Y469" s="67"/>
    </row>
    <row r="470" spans="2:25" ht="14.25">
      <c r="B470" s="15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15"/>
      <c r="N470" s="15"/>
      <c r="O470" s="15"/>
      <c r="P470" s="15"/>
      <c r="Q470" s="15"/>
      <c r="R470" s="15"/>
      <c r="S470" s="15"/>
      <c r="T470" s="67"/>
      <c r="U470" s="67"/>
      <c r="V470" s="67"/>
      <c r="W470" s="67"/>
      <c r="X470" s="67"/>
      <c r="Y470" s="67"/>
    </row>
    <row r="471" spans="2:25" ht="14.25">
      <c r="B471" s="15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15"/>
      <c r="N471" s="15"/>
      <c r="O471" s="15"/>
      <c r="P471" s="15"/>
      <c r="Q471" s="15"/>
      <c r="R471" s="15"/>
      <c r="S471" s="15"/>
      <c r="T471" s="67"/>
      <c r="U471" s="67"/>
      <c r="V471" s="67"/>
      <c r="W471" s="67"/>
      <c r="X471" s="67"/>
      <c r="Y471" s="67"/>
    </row>
    <row r="472" spans="2:25" ht="14.25">
      <c r="B472" s="15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15"/>
      <c r="N472" s="15"/>
      <c r="O472" s="15"/>
      <c r="P472" s="15"/>
      <c r="Q472" s="15"/>
      <c r="R472" s="15"/>
      <c r="S472" s="15"/>
      <c r="T472" s="67"/>
      <c r="U472" s="67"/>
      <c r="V472" s="67"/>
      <c r="W472" s="67"/>
      <c r="X472" s="67"/>
      <c r="Y472" s="67"/>
    </row>
    <row r="473" spans="2:25" ht="14.25">
      <c r="B473" s="15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15"/>
      <c r="N473" s="15"/>
      <c r="O473" s="15"/>
      <c r="P473" s="15"/>
      <c r="Q473" s="15"/>
      <c r="R473" s="15"/>
      <c r="S473" s="15"/>
      <c r="T473" s="67"/>
      <c r="U473" s="67"/>
      <c r="V473" s="67"/>
      <c r="W473" s="67"/>
      <c r="X473" s="67"/>
      <c r="Y473" s="67"/>
    </row>
    <row r="474" spans="2:25" ht="14.25">
      <c r="B474" s="15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15"/>
      <c r="N474" s="15"/>
      <c r="O474" s="15"/>
      <c r="P474" s="15"/>
      <c r="Q474" s="15"/>
      <c r="R474" s="15"/>
      <c r="S474" s="15"/>
      <c r="T474" s="67"/>
      <c r="U474" s="67"/>
      <c r="V474" s="67"/>
      <c r="W474" s="67"/>
      <c r="X474" s="67"/>
      <c r="Y474" s="67"/>
    </row>
    <row r="475" spans="2:25" ht="14.25">
      <c r="B475" s="15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15"/>
      <c r="N475" s="15"/>
      <c r="O475" s="15"/>
      <c r="P475" s="15"/>
      <c r="Q475" s="15"/>
      <c r="R475" s="15"/>
      <c r="S475" s="15"/>
      <c r="T475" s="67"/>
      <c r="U475" s="67"/>
      <c r="V475" s="67"/>
      <c r="W475" s="67"/>
      <c r="X475" s="67"/>
      <c r="Y475" s="67"/>
    </row>
    <row r="476" spans="2:25" ht="14.25">
      <c r="B476" s="15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15"/>
      <c r="N476" s="15"/>
      <c r="O476" s="15"/>
      <c r="P476" s="15"/>
      <c r="Q476" s="15"/>
      <c r="R476" s="15"/>
      <c r="S476" s="15"/>
      <c r="T476" s="67"/>
      <c r="U476" s="67"/>
      <c r="V476" s="67"/>
      <c r="W476" s="67"/>
      <c r="X476" s="67"/>
      <c r="Y476" s="67"/>
    </row>
    <row r="477" spans="2:25" ht="14.25">
      <c r="B477" s="15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15"/>
      <c r="N477" s="15"/>
      <c r="O477" s="15"/>
      <c r="P477" s="15"/>
      <c r="Q477" s="15"/>
      <c r="R477" s="15"/>
      <c r="S477" s="15"/>
      <c r="T477" s="67"/>
      <c r="U477" s="67"/>
      <c r="V477" s="67"/>
      <c r="W477" s="67"/>
      <c r="X477" s="67"/>
      <c r="Y477" s="67"/>
    </row>
    <row r="478" spans="2:25" ht="14.25">
      <c r="B478" s="15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15"/>
      <c r="N478" s="15"/>
      <c r="O478" s="15"/>
      <c r="P478" s="15"/>
      <c r="Q478" s="15"/>
      <c r="R478" s="15"/>
      <c r="S478" s="15"/>
      <c r="T478" s="67"/>
      <c r="U478" s="67"/>
      <c r="V478" s="67"/>
      <c r="W478" s="67"/>
      <c r="X478" s="67"/>
      <c r="Y478" s="67"/>
    </row>
    <row r="479" spans="2:25" ht="14.25">
      <c r="B479" s="15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15"/>
      <c r="N479" s="15"/>
      <c r="O479" s="15"/>
      <c r="P479" s="15"/>
      <c r="Q479" s="15"/>
      <c r="R479" s="15"/>
      <c r="S479" s="15"/>
      <c r="T479" s="67"/>
      <c r="U479" s="67"/>
      <c r="V479" s="67"/>
      <c r="W479" s="67"/>
      <c r="X479" s="67"/>
      <c r="Y479" s="67"/>
    </row>
    <row r="480" spans="2:25" ht="14.25">
      <c r="B480" s="15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15"/>
      <c r="N480" s="15"/>
      <c r="O480" s="15"/>
      <c r="P480" s="15"/>
      <c r="Q480" s="15"/>
      <c r="R480" s="15"/>
      <c r="S480" s="15"/>
      <c r="T480" s="67"/>
      <c r="U480" s="67"/>
      <c r="V480" s="67"/>
      <c r="W480" s="67"/>
      <c r="X480" s="67"/>
      <c r="Y480" s="67"/>
    </row>
    <row r="481" spans="2:25" ht="14.25">
      <c r="B481" s="15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15"/>
      <c r="N481" s="15"/>
      <c r="O481" s="15"/>
      <c r="P481" s="15"/>
      <c r="Q481" s="15"/>
      <c r="R481" s="15"/>
      <c r="S481" s="15"/>
      <c r="T481" s="67"/>
      <c r="U481" s="67"/>
      <c r="V481" s="67"/>
      <c r="W481" s="67"/>
      <c r="X481" s="67"/>
      <c r="Y481" s="67"/>
    </row>
    <row r="482" spans="2:25" ht="14.25">
      <c r="B482" s="15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15"/>
      <c r="N482" s="15"/>
      <c r="O482" s="15"/>
      <c r="P482" s="15"/>
      <c r="Q482" s="15"/>
      <c r="R482" s="15"/>
      <c r="S482" s="15"/>
      <c r="T482" s="67"/>
      <c r="U482" s="67"/>
      <c r="V482" s="67"/>
      <c r="W482" s="67"/>
      <c r="X482" s="67"/>
      <c r="Y482" s="67"/>
    </row>
    <row r="483" spans="2:25" ht="14.25">
      <c r="B483" s="15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15"/>
      <c r="N483" s="15"/>
      <c r="O483" s="15"/>
      <c r="P483" s="15"/>
      <c r="Q483" s="15"/>
      <c r="R483" s="15"/>
      <c r="S483" s="15"/>
      <c r="T483" s="67"/>
      <c r="U483" s="67"/>
      <c r="V483" s="67"/>
      <c r="W483" s="67"/>
      <c r="X483" s="67"/>
      <c r="Y483" s="67"/>
    </row>
    <row r="484" spans="2:25" ht="14.25">
      <c r="B484" s="15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15"/>
      <c r="N484" s="15"/>
      <c r="O484" s="15"/>
      <c r="P484" s="15"/>
      <c r="Q484" s="15"/>
      <c r="R484" s="15"/>
      <c r="S484" s="15"/>
      <c r="T484" s="67"/>
      <c r="U484" s="67"/>
      <c r="V484" s="67"/>
      <c r="W484" s="67"/>
      <c r="X484" s="67"/>
      <c r="Y484" s="67"/>
    </row>
    <row r="485" spans="2:25" ht="14.25">
      <c r="B485" s="15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15"/>
      <c r="N485" s="15"/>
      <c r="O485" s="15"/>
      <c r="P485" s="15"/>
      <c r="Q485" s="15"/>
      <c r="R485" s="15"/>
      <c r="S485" s="15"/>
      <c r="T485" s="67"/>
      <c r="U485" s="67"/>
      <c r="V485" s="67"/>
      <c r="W485" s="67"/>
      <c r="X485" s="67"/>
      <c r="Y485" s="67"/>
    </row>
    <row r="486" spans="2:25" ht="14.25">
      <c r="B486" s="15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15"/>
      <c r="N486" s="15"/>
      <c r="O486" s="15"/>
      <c r="P486" s="15"/>
      <c r="Q486" s="15"/>
      <c r="R486" s="15"/>
      <c r="S486" s="15"/>
      <c r="T486" s="67"/>
      <c r="U486" s="67"/>
      <c r="V486" s="67"/>
      <c r="W486" s="67"/>
      <c r="X486" s="67"/>
      <c r="Y486" s="67"/>
    </row>
    <row r="487" spans="2:25" ht="14.25">
      <c r="B487" s="15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15"/>
      <c r="N487" s="15"/>
      <c r="O487" s="15"/>
      <c r="P487" s="15"/>
      <c r="Q487" s="15"/>
      <c r="R487" s="15"/>
      <c r="S487" s="15"/>
      <c r="T487" s="67"/>
      <c r="U487" s="67"/>
      <c r="V487" s="67"/>
      <c r="W487" s="67"/>
      <c r="X487" s="67"/>
      <c r="Y487" s="67"/>
    </row>
    <row r="488" spans="2:25" ht="14.25">
      <c r="B488" s="15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15"/>
      <c r="N488" s="15"/>
      <c r="O488" s="15"/>
      <c r="P488" s="15"/>
      <c r="Q488" s="15"/>
      <c r="R488" s="15"/>
      <c r="S488" s="15"/>
      <c r="T488" s="67"/>
      <c r="U488" s="67"/>
      <c r="V488" s="67"/>
      <c r="W488" s="67"/>
      <c r="X488" s="67"/>
      <c r="Y488" s="67"/>
    </row>
    <row r="489" spans="2:25" ht="14.25">
      <c r="B489" s="15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15"/>
      <c r="N489" s="15"/>
      <c r="O489" s="15"/>
      <c r="P489" s="15"/>
      <c r="Q489" s="15"/>
      <c r="R489" s="15"/>
      <c r="S489" s="15"/>
      <c r="T489" s="67"/>
      <c r="U489" s="67"/>
      <c r="V489" s="67"/>
      <c r="W489" s="67"/>
      <c r="X489" s="67"/>
      <c r="Y489" s="67"/>
    </row>
    <row r="490" spans="2:25" ht="14.25">
      <c r="B490" s="15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15"/>
      <c r="N490" s="15"/>
      <c r="O490" s="15"/>
      <c r="P490" s="15"/>
      <c r="Q490" s="15"/>
      <c r="R490" s="15"/>
      <c r="S490" s="15"/>
      <c r="T490" s="67"/>
      <c r="U490" s="67"/>
      <c r="V490" s="67"/>
      <c r="W490" s="67"/>
      <c r="X490" s="67"/>
      <c r="Y490" s="67"/>
    </row>
    <row r="491" spans="2:25" ht="14.25">
      <c r="B491" s="15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15"/>
      <c r="N491" s="15"/>
      <c r="O491" s="15"/>
      <c r="P491" s="15"/>
      <c r="Q491" s="15"/>
      <c r="R491" s="15"/>
      <c r="S491" s="15"/>
      <c r="T491" s="67"/>
      <c r="U491" s="67"/>
      <c r="V491" s="67"/>
      <c r="W491" s="67"/>
      <c r="X491" s="67"/>
      <c r="Y491" s="67"/>
    </row>
    <row r="492" spans="2:25" ht="14.25">
      <c r="B492" s="15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15"/>
      <c r="N492" s="15"/>
      <c r="O492" s="15"/>
      <c r="P492" s="15"/>
      <c r="Q492" s="15"/>
      <c r="R492" s="15"/>
      <c r="S492" s="15"/>
      <c r="T492" s="67"/>
      <c r="U492" s="67"/>
      <c r="V492" s="67"/>
      <c r="W492" s="67"/>
      <c r="X492" s="67"/>
      <c r="Y492" s="67"/>
    </row>
    <row r="493" spans="2:25" ht="14.25">
      <c r="B493" s="15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15"/>
      <c r="N493" s="15"/>
      <c r="O493" s="15"/>
      <c r="P493" s="15"/>
      <c r="Q493" s="15"/>
      <c r="R493" s="15"/>
      <c r="S493" s="15"/>
      <c r="T493" s="67"/>
      <c r="U493" s="67"/>
      <c r="V493" s="67"/>
      <c r="W493" s="67"/>
      <c r="X493" s="67"/>
      <c r="Y493" s="67"/>
    </row>
    <row r="494" spans="2:25" ht="14.25">
      <c r="B494" s="15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15"/>
      <c r="N494" s="15"/>
      <c r="O494" s="15"/>
      <c r="P494" s="15"/>
      <c r="Q494" s="15"/>
      <c r="R494" s="15"/>
      <c r="S494" s="15"/>
      <c r="T494" s="67"/>
      <c r="U494" s="67"/>
      <c r="V494" s="67"/>
      <c r="W494" s="67"/>
      <c r="X494" s="67"/>
      <c r="Y494" s="67"/>
    </row>
    <row r="495" spans="2:25" ht="14.25">
      <c r="B495" s="15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15"/>
      <c r="N495" s="15"/>
      <c r="O495" s="15"/>
      <c r="P495" s="15"/>
      <c r="Q495" s="15"/>
      <c r="R495" s="15"/>
      <c r="S495" s="15"/>
      <c r="T495" s="67"/>
      <c r="U495" s="67"/>
      <c r="V495" s="67"/>
      <c r="W495" s="67"/>
      <c r="X495" s="67"/>
      <c r="Y495" s="67"/>
    </row>
    <row r="496" spans="2:25" ht="14.25">
      <c r="B496" s="15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15"/>
      <c r="N496" s="15"/>
      <c r="O496" s="15"/>
      <c r="P496" s="15"/>
      <c r="Q496" s="15"/>
      <c r="R496" s="15"/>
      <c r="S496" s="15"/>
      <c r="T496" s="67"/>
      <c r="U496" s="67"/>
      <c r="V496" s="67"/>
      <c r="W496" s="67"/>
      <c r="X496" s="67"/>
      <c r="Y496" s="67"/>
    </row>
    <row r="497" spans="2:25" ht="14.25">
      <c r="B497" s="15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15"/>
      <c r="N497" s="15"/>
      <c r="O497" s="15"/>
      <c r="P497" s="15"/>
      <c r="Q497" s="15"/>
      <c r="R497" s="15"/>
      <c r="S497" s="15"/>
      <c r="T497" s="67"/>
      <c r="U497" s="67"/>
      <c r="V497" s="67"/>
      <c r="W497" s="67"/>
      <c r="X497" s="67"/>
      <c r="Y497" s="67"/>
    </row>
    <row r="498" spans="2:25" ht="14.25">
      <c r="B498" s="15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15"/>
      <c r="N498" s="15"/>
      <c r="O498" s="15"/>
      <c r="P498" s="15"/>
      <c r="Q498" s="15"/>
      <c r="R498" s="15"/>
      <c r="S498" s="15"/>
      <c r="T498" s="67"/>
      <c r="U498" s="67"/>
      <c r="V498" s="67"/>
      <c r="W498" s="67"/>
      <c r="X498" s="67"/>
      <c r="Y498" s="67"/>
    </row>
    <row r="499" spans="2:25" ht="14.25">
      <c r="B499" s="15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15"/>
      <c r="N499" s="15"/>
      <c r="O499" s="15"/>
      <c r="P499" s="15"/>
      <c r="Q499" s="15"/>
      <c r="R499" s="15"/>
      <c r="S499" s="15"/>
      <c r="T499" s="67"/>
      <c r="U499" s="67"/>
      <c r="V499" s="67"/>
      <c r="W499" s="67"/>
      <c r="X499" s="67"/>
      <c r="Y499" s="67"/>
    </row>
    <row r="500" spans="2:25" ht="14.25">
      <c r="B500" s="15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15"/>
      <c r="N500" s="15"/>
      <c r="O500" s="15"/>
      <c r="P500" s="15"/>
      <c r="Q500" s="15"/>
      <c r="R500" s="15"/>
      <c r="S500" s="15"/>
      <c r="T500" s="67"/>
      <c r="U500" s="67"/>
      <c r="V500" s="67"/>
      <c r="W500" s="67"/>
      <c r="X500" s="67"/>
      <c r="Y500" s="67"/>
    </row>
    <row r="501" spans="2:25" ht="14.25">
      <c r="B501" s="15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15"/>
      <c r="N501" s="15"/>
      <c r="O501" s="15"/>
      <c r="P501" s="15"/>
      <c r="Q501" s="15"/>
      <c r="R501" s="15"/>
      <c r="S501" s="15"/>
      <c r="T501" s="67"/>
      <c r="U501" s="67"/>
      <c r="V501" s="67"/>
      <c r="W501" s="67"/>
      <c r="X501" s="67"/>
      <c r="Y501" s="67"/>
    </row>
    <row r="502" spans="2:25" ht="14.25">
      <c r="B502" s="15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15"/>
      <c r="N502" s="15"/>
      <c r="O502" s="15"/>
      <c r="P502" s="15"/>
      <c r="Q502" s="15"/>
      <c r="R502" s="15"/>
      <c r="S502" s="15"/>
      <c r="T502" s="67"/>
      <c r="U502" s="67"/>
      <c r="V502" s="67"/>
      <c r="W502" s="67"/>
      <c r="X502" s="67"/>
      <c r="Y502" s="67"/>
    </row>
    <row r="503" spans="2:25" ht="14.25">
      <c r="B503" s="15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15"/>
      <c r="N503" s="15"/>
      <c r="O503" s="15"/>
      <c r="P503" s="15"/>
      <c r="Q503" s="15"/>
      <c r="R503" s="15"/>
      <c r="S503" s="15"/>
      <c r="T503" s="67"/>
      <c r="U503" s="67"/>
      <c r="V503" s="67"/>
      <c r="W503" s="67"/>
      <c r="X503" s="67"/>
      <c r="Y503" s="67"/>
    </row>
    <row r="504" spans="2:25" ht="14.25">
      <c r="B504" s="15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15"/>
      <c r="N504" s="15"/>
      <c r="O504" s="15"/>
      <c r="P504" s="15"/>
      <c r="Q504" s="15"/>
      <c r="R504" s="15"/>
      <c r="S504" s="15"/>
      <c r="T504" s="67"/>
      <c r="U504" s="67"/>
      <c r="V504" s="67"/>
      <c r="W504" s="67"/>
      <c r="X504" s="67"/>
      <c r="Y504" s="67"/>
    </row>
    <row r="505" spans="2:25" ht="14.25">
      <c r="B505" s="15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15"/>
      <c r="N505" s="15"/>
      <c r="O505" s="15"/>
      <c r="P505" s="15"/>
      <c r="Q505" s="15"/>
      <c r="R505" s="15"/>
      <c r="S505" s="15"/>
      <c r="T505" s="67"/>
      <c r="U505" s="67"/>
      <c r="V505" s="67"/>
      <c r="W505" s="67"/>
      <c r="X505" s="67"/>
      <c r="Y505" s="67"/>
    </row>
    <row r="506" spans="2:25" ht="14.25">
      <c r="B506" s="15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15"/>
      <c r="N506" s="15"/>
      <c r="O506" s="15"/>
      <c r="P506" s="15"/>
      <c r="Q506" s="15"/>
      <c r="R506" s="15"/>
      <c r="S506" s="15"/>
      <c r="T506" s="67"/>
      <c r="U506" s="67"/>
      <c r="V506" s="67"/>
      <c r="W506" s="67"/>
      <c r="X506" s="67"/>
      <c r="Y506" s="67"/>
    </row>
    <row r="507" spans="2:25" ht="14.25">
      <c r="B507" s="15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15"/>
      <c r="N507" s="15"/>
      <c r="O507" s="15"/>
      <c r="P507" s="15"/>
      <c r="Q507" s="15"/>
      <c r="R507" s="15"/>
      <c r="S507" s="15"/>
      <c r="T507" s="67"/>
      <c r="U507" s="67"/>
      <c r="V507" s="67"/>
      <c r="W507" s="67"/>
      <c r="X507" s="67"/>
      <c r="Y507" s="67"/>
    </row>
    <row r="508" spans="2:25" ht="14.25">
      <c r="B508" s="15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15"/>
      <c r="N508" s="15"/>
      <c r="O508" s="15"/>
      <c r="P508" s="15"/>
      <c r="Q508" s="15"/>
      <c r="R508" s="15"/>
      <c r="S508" s="15"/>
      <c r="T508" s="67"/>
      <c r="U508" s="67"/>
      <c r="V508" s="67"/>
      <c r="W508" s="67"/>
      <c r="X508" s="67"/>
      <c r="Y508" s="67"/>
    </row>
    <row r="509" spans="2:25" ht="14.25">
      <c r="B509" s="15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15"/>
      <c r="N509" s="15"/>
      <c r="O509" s="15"/>
      <c r="P509" s="15"/>
      <c r="Q509" s="15"/>
      <c r="R509" s="15"/>
      <c r="S509" s="15"/>
      <c r="T509" s="67"/>
      <c r="U509" s="67"/>
      <c r="V509" s="67"/>
      <c r="W509" s="67"/>
      <c r="X509" s="67"/>
      <c r="Y509" s="67"/>
    </row>
    <row r="510" spans="2:25" ht="14.25">
      <c r="B510" s="15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15"/>
      <c r="N510" s="15"/>
      <c r="O510" s="15"/>
      <c r="P510" s="15"/>
      <c r="Q510" s="15"/>
      <c r="R510" s="15"/>
      <c r="S510" s="15"/>
      <c r="T510" s="67"/>
      <c r="U510" s="67"/>
      <c r="V510" s="67"/>
      <c r="W510" s="67"/>
      <c r="X510" s="67"/>
      <c r="Y510" s="67"/>
    </row>
    <row r="511" spans="2:25" ht="14.25">
      <c r="B511" s="15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15"/>
      <c r="N511" s="15"/>
      <c r="O511" s="15"/>
      <c r="P511" s="15"/>
      <c r="Q511" s="15"/>
      <c r="R511" s="15"/>
      <c r="S511" s="15"/>
      <c r="T511" s="67"/>
      <c r="U511" s="67"/>
      <c r="V511" s="67"/>
      <c r="W511" s="67"/>
      <c r="X511" s="67"/>
      <c r="Y511" s="67"/>
    </row>
    <row r="512" spans="2:25" ht="14.25">
      <c r="B512" s="15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15"/>
      <c r="N512" s="15"/>
      <c r="O512" s="15"/>
      <c r="P512" s="15"/>
      <c r="Q512" s="15"/>
      <c r="R512" s="15"/>
      <c r="S512" s="15"/>
      <c r="T512" s="67"/>
      <c r="U512" s="67"/>
      <c r="V512" s="67"/>
      <c r="W512" s="67"/>
      <c r="X512" s="67"/>
      <c r="Y512" s="67"/>
    </row>
    <row r="513" spans="2:25" ht="14.25">
      <c r="B513" s="15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15"/>
      <c r="N513" s="15"/>
      <c r="O513" s="15"/>
      <c r="P513" s="15"/>
      <c r="Q513" s="15"/>
      <c r="R513" s="15"/>
      <c r="S513" s="15"/>
      <c r="T513" s="67"/>
      <c r="U513" s="67"/>
      <c r="V513" s="67"/>
      <c r="W513" s="67"/>
      <c r="X513" s="67"/>
      <c r="Y513" s="67"/>
    </row>
    <row r="514" spans="2:25" ht="14.25">
      <c r="B514" s="15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15"/>
      <c r="N514" s="15"/>
      <c r="O514" s="15"/>
      <c r="P514" s="15"/>
      <c r="Q514" s="15"/>
      <c r="R514" s="15"/>
      <c r="S514" s="15"/>
      <c r="T514" s="67"/>
      <c r="U514" s="67"/>
      <c r="V514" s="67"/>
      <c r="W514" s="67"/>
      <c r="X514" s="67"/>
      <c r="Y514" s="67"/>
    </row>
    <row r="515" spans="2:25" ht="14.25">
      <c r="B515" s="15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15"/>
      <c r="N515" s="15"/>
      <c r="O515" s="15"/>
      <c r="P515" s="15"/>
      <c r="Q515" s="15"/>
      <c r="R515" s="15"/>
      <c r="S515" s="15"/>
      <c r="T515" s="67"/>
      <c r="U515" s="67"/>
      <c r="V515" s="67"/>
      <c r="W515" s="67"/>
      <c r="X515" s="67"/>
      <c r="Y515" s="67"/>
    </row>
    <row r="516" spans="2:25" ht="14.25">
      <c r="B516" s="15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15"/>
      <c r="N516" s="15"/>
      <c r="O516" s="15"/>
      <c r="P516" s="15"/>
      <c r="Q516" s="15"/>
      <c r="R516" s="15"/>
      <c r="S516" s="15"/>
      <c r="T516" s="67"/>
      <c r="U516" s="67"/>
      <c r="V516" s="67"/>
      <c r="W516" s="67"/>
      <c r="X516" s="67"/>
      <c r="Y516" s="67"/>
    </row>
    <row r="517" spans="2:25" ht="14.25">
      <c r="B517" s="15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15"/>
      <c r="N517" s="15"/>
      <c r="O517" s="15"/>
      <c r="P517" s="15"/>
      <c r="Q517" s="15"/>
      <c r="R517" s="15"/>
      <c r="S517" s="15"/>
      <c r="T517" s="67"/>
      <c r="U517" s="67"/>
      <c r="V517" s="67"/>
      <c r="W517" s="67"/>
      <c r="X517" s="67"/>
      <c r="Y517" s="67"/>
    </row>
    <row r="518" spans="2:25" ht="14.25">
      <c r="B518" s="15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15"/>
      <c r="N518" s="15"/>
      <c r="O518" s="15"/>
      <c r="P518" s="15"/>
      <c r="Q518" s="15"/>
      <c r="R518" s="15"/>
      <c r="S518" s="15"/>
      <c r="T518" s="67"/>
      <c r="U518" s="67"/>
      <c r="V518" s="67"/>
      <c r="W518" s="67"/>
      <c r="X518" s="67"/>
      <c r="Y518" s="67"/>
    </row>
    <row r="519" spans="2:25" ht="14.25">
      <c r="B519" s="15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15"/>
      <c r="N519" s="15"/>
      <c r="O519" s="15"/>
      <c r="P519" s="15"/>
      <c r="Q519" s="15"/>
      <c r="R519" s="15"/>
      <c r="S519" s="15"/>
      <c r="T519" s="67"/>
      <c r="U519" s="67"/>
      <c r="V519" s="67"/>
      <c r="W519" s="67"/>
      <c r="X519" s="67"/>
      <c r="Y519" s="67"/>
    </row>
    <row r="520" spans="2:25" ht="14.25">
      <c r="B520" s="15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15"/>
      <c r="N520" s="15"/>
      <c r="O520" s="15"/>
      <c r="P520" s="15"/>
      <c r="Q520" s="15"/>
      <c r="R520" s="15"/>
      <c r="S520" s="15"/>
      <c r="T520" s="67"/>
      <c r="U520" s="67"/>
      <c r="V520" s="67"/>
      <c r="W520" s="67"/>
      <c r="X520" s="67"/>
      <c r="Y520" s="67"/>
    </row>
    <row r="521" spans="2:25" ht="14.25">
      <c r="B521" s="15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15"/>
      <c r="N521" s="15"/>
      <c r="O521" s="15"/>
      <c r="P521" s="15"/>
      <c r="Q521" s="15"/>
      <c r="R521" s="15"/>
      <c r="S521" s="15"/>
      <c r="T521" s="67"/>
      <c r="U521" s="67"/>
      <c r="V521" s="67"/>
      <c r="W521" s="67"/>
      <c r="X521" s="67"/>
      <c r="Y521" s="67"/>
    </row>
    <row r="522" spans="2:25" ht="14.25">
      <c r="B522" s="15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15"/>
      <c r="N522" s="15"/>
      <c r="O522" s="15"/>
      <c r="P522" s="15"/>
      <c r="Q522" s="15"/>
      <c r="R522" s="15"/>
      <c r="S522" s="15"/>
      <c r="T522" s="67"/>
      <c r="U522" s="67"/>
      <c r="V522" s="67"/>
      <c r="W522" s="67"/>
      <c r="X522" s="67"/>
      <c r="Y522" s="67"/>
    </row>
    <row r="523" spans="2:25" ht="14.25">
      <c r="B523" s="15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15"/>
      <c r="N523" s="15"/>
      <c r="O523" s="15"/>
      <c r="P523" s="15"/>
      <c r="Q523" s="15"/>
      <c r="R523" s="15"/>
      <c r="S523" s="15"/>
      <c r="T523" s="67"/>
      <c r="U523" s="67"/>
      <c r="V523" s="67"/>
      <c r="W523" s="67"/>
      <c r="X523" s="67"/>
      <c r="Y523" s="67"/>
    </row>
    <row r="524" spans="2:25" ht="14.25">
      <c r="B524" s="15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15"/>
      <c r="N524" s="15"/>
      <c r="O524" s="15"/>
      <c r="P524" s="15"/>
      <c r="Q524" s="15"/>
      <c r="R524" s="15"/>
      <c r="S524" s="15"/>
      <c r="T524" s="67"/>
      <c r="U524" s="67"/>
      <c r="V524" s="67"/>
      <c r="W524" s="67"/>
      <c r="X524" s="67"/>
      <c r="Y524" s="67"/>
    </row>
    <row r="525" spans="2:25" ht="14.25">
      <c r="B525" s="15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15"/>
      <c r="N525" s="15"/>
      <c r="O525" s="15"/>
      <c r="P525" s="15"/>
      <c r="Q525" s="15"/>
      <c r="R525" s="15"/>
      <c r="S525" s="15"/>
      <c r="T525" s="67"/>
      <c r="U525" s="67"/>
      <c r="V525" s="67"/>
      <c r="W525" s="67"/>
      <c r="X525" s="67"/>
      <c r="Y525" s="67"/>
    </row>
    <row r="526" spans="2:25" ht="14.25">
      <c r="B526" s="15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15"/>
      <c r="N526" s="15"/>
      <c r="O526" s="15"/>
      <c r="P526" s="15"/>
      <c r="Q526" s="15"/>
      <c r="R526" s="15"/>
      <c r="S526" s="15"/>
      <c r="T526" s="67"/>
      <c r="U526" s="67"/>
      <c r="V526" s="67"/>
      <c r="W526" s="67"/>
      <c r="X526" s="67"/>
      <c r="Y526" s="67"/>
    </row>
    <row r="527" spans="2:25" ht="14.25">
      <c r="B527" s="15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15"/>
      <c r="N527" s="15"/>
      <c r="O527" s="15"/>
      <c r="P527" s="15"/>
      <c r="Q527" s="15"/>
      <c r="R527" s="15"/>
      <c r="S527" s="15"/>
      <c r="T527" s="67"/>
      <c r="U527" s="67"/>
      <c r="V527" s="67"/>
      <c r="W527" s="67"/>
      <c r="X527" s="67"/>
      <c r="Y527" s="67"/>
    </row>
    <row r="528" spans="2:25" ht="14.25">
      <c r="B528" s="15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15"/>
      <c r="N528" s="15"/>
      <c r="O528" s="15"/>
      <c r="P528" s="15"/>
      <c r="Q528" s="15"/>
      <c r="R528" s="15"/>
      <c r="S528" s="15"/>
      <c r="T528" s="67"/>
      <c r="U528" s="67"/>
      <c r="V528" s="67"/>
      <c r="W528" s="67"/>
      <c r="X528" s="67"/>
      <c r="Y528" s="67"/>
    </row>
    <row r="529" spans="2:25" ht="14.25">
      <c r="B529" s="15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15"/>
      <c r="N529" s="15"/>
      <c r="O529" s="15"/>
      <c r="P529" s="15"/>
      <c r="Q529" s="15"/>
      <c r="R529" s="15"/>
      <c r="S529" s="15"/>
      <c r="T529" s="67"/>
      <c r="U529" s="67"/>
      <c r="V529" s="67"/>
      <c r="W529" s="67"/>
      <c r="X529" s="67"/>
      <c r="Y529" s="67"/>
    </row>
    <row r="530" spans="2:25" ht="14.25">
      <c r="B530" s="15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15"/>
      <c r="N530" s="15"/>
      <c r="O530" s="15"/>
      <c r="P530" s="15"/>
      <c r="Q530" s="15"/>
      <c r="R530" s="15"/>
      <c r="S530" s="15"/>
      <c r="T530" s="67"/>
      <c r="U530" s="67"/>
      <c r="V530" s="67"/>
      <c r="W530" s="67"/>
      <c r="X530" s="67"/>
      <c r="Y530" s="67"/>
    </row>
    <row r="531" spans="2:25" ht="14.25">
      <c r="B531" s="15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15"/>
      <c r="N531" s="15"/>
      <c r="O531" s="15"/>
      <c r="P531" s="15"/>
      <c r="Q531" s="15"/>
      <c r="R531" s="15"/>
      <c r="S531" s="15"/>
      <c r="T531" s="67"/>
      <c r="U531" s="67"/>
      <c r="V531" s="67"/>
      <c r="W531" s="67"/>
      <c r="X531" s="67"/>
      <c r="Y531" s="67"/>
    </row>
    <row r="532" spans="2:25" ht="14.25">
      <c r="B532" s="15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15"/>
      <c r="N532" s="15"/>
      <c r="O532" s="15"/>
      <c r="P532" s="15"/>
      <c r="Q532" s="15"/>
      <c r="R532" s="15"/>
      <c r="S532" s="15"/>
      <c r="T532" s="67"/>
      <c r="U532" s="67"/>
      <c r="V532" s="67"/>
      <c r="W532" s="67"/>
      <c r="X532" s="67"/>
      <c r="Y532" s="67"/>
    </row>
    <row r="533" spans="2:25" ht="14.25">
      <c r="B533" s="15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15"/>
      <c r="N533" s="15"/>
      <c r="O533" s="15"/>
      <c r="P533" s="15"/>
      <c r="Q533" s="15"/>
      <c r="R533" s="15"/>
      <c r="S533" s="15"/>
      <c r="T533" s="67"/>
      <c r="U533" s="67"/>
      <c r="V533" s="67"/>
      <c r="W533" s="67"/>
      <c r="X533" s="67"/>
      <c r="Y533" s="67"/>
    </row>
    <row r="534" spans="2:25" ht="14.25">
      <c r="B534" s="15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15"/>
      <c r="N534" s="15"/>
      <c r="O534" s="15"/>
      <c r="P534" s="15"/>
      <c r="Q534" s="15"/>
      <c r="R534" s="15"/>
      <c r="S534" s="15"/>
      <c r="T534" s="67"/>
      <c r="U534" s="67"/>
      <c r="V534" s="67"/>
      <c r="W534" s="67"/>
      <c r="X534" s="67"/>
      <c r="Y534" s="67"/>
    </row>
    <row r="535" spans="2:25" ht="14.25">
      <c r="B535" s="15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15"/>
      <c r="N535" s="15"/>
      <c r="O535" s="15"/>
      <c r="P535" s="15"/>
      <c r="Q535" s="15"/>
      <c r="R535" s="15"/>
      <c r="S535" s="15"/>
      <c r="T535" s="67"/>
      <c r="U535" s="67"/>
      <c r="V535" s="67"/>
      <c r="W535" s="67"/>
      <c r="X535" s="67"/>
      <c r="Y535" s="67"/>
    </row>
    <row r="536" spans="2:25" ht="14.25">
      <c r="B536" s="15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15"/>
      <c r="N536" s="15"/>
      <c r="O536" s="15"/>
      <c r="P536" s="15"/>
      <c r="Q536" s="15"/>
      <c r="R536" s="15"/>
      <c r="S536" s="15"/>
      <c r="T536" s="67"/>
      <c r="U536" s="67"/>
      <c r="V536" s="67"/>
      <c r="W536" s="67"/>
      <c r="X536" s="67"/>
      <c r="Y536" s="67"/>
    </row>
    <row r="537" spans="2:25" ht="14.25">
      <c r="B537" s="15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15"/>
      <c r="N537" s="15"/>
      <c r="O537" s="15"/>
      <c r="P537" s="15"/>
      <c r="Q537" s="15"/>
      <c r="R537" s="15"/>
      <c r="S537" s="15"/>
      <c r="T537" s="67"/>
      <c r="U537" s="67"/>
      <c r="V537" s="67"/>
      <c r="W537" s="67"/>
      <c r="X537" s="67"/>
      <c r="Y537" s="67"/>
    </row>
    <row r="538" spans="2:25" ht="14.25">
      <c r="B538" s="15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15"/>
      <c r="N538" s="15"/>
      <c r="O538" s="15"/>
      <c r="P538" s="15"/>
      <c r="Q538" s="15"/>
      <c r="R538" s="15"/>
      <c r="S538" s="15"/>
      <c r="T538" s="67"/>
      <c r="U538" s="67"/>
      <c r="V538" s="67"/>
      <c r="W538" s="67"/>
      <c r="X538" s="67"/>
      <c r="Y538" s="67"/>
    </row>
    <row r="539" spans="2:25" ht="14.25">
      <c r="B539" s="15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15"/>
      <c r="N539" s="15"/>
      <c r="O539" s="15"/>
      <c r="P539" s="15"/>
      <c r="Q539" s="15"/>
      <c r="R539" s="15"/>
      <c r="S539" s="15"/>
      <c r="T539" s="67"/>
      <c r="U539" s="67"/>
      <c r="V539" s="67"/>
      <c r="W539" s="67"/>
      <c r="X539" s="67"/>
      <c r="Y539" s="67"/>
    </row>
    <row r="540" spans="2:25" ht="14.25">
      <c r="B540" s="15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15"/>
      <c r="N540" s="15"/>
      <c r="O540" s="15"/>
      <c r="P540" s="15"/>
      <c r="Q540" s="15"/>
      <c r="R540" s="15"/>
      <c r="S540" s="15"/>
      <c r="T540" s="67"/>
      <c r="U540" s="67"/>
      <c r="V540" s="67"/>
      <c r="W540" s="67"/>
      <c r="X540" s="67"/>
      <c r="Y540" s="67"/>
    </row>
    <row r="541" spans="2:25" ht="14.25">
      <c r="B541" s="15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15"/>
      <c r="N541" s="15"/>
      <c r="O541" s="15"/>
      <c r="P541" s="15"/>
      <c r="Q541" s="15"/>
      <c r="R541" s="15"/>
      <c r="S541" s="15"/>
      <c r="T541" s="67"/>
      <c r="U541" s="67"/>
      <c r="V541" s="67"/>
      <c r="W541" s="67"/>
      <c r="X541" s="67"/>
      <c r="Y541" s="67"/>
    </row>
    <row r="542" spans="2:25" ht="14.25">
      <c r="B542" s="15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15"/>
      <c r="N542" s="15"/>
      <c r="O542" s="15"/>
      <c r="P542" s="15"/>
      <c r="Q542" s="15"/>
      <c r="R542" s="15"/>
      <c r="S542" s="15"/>
      <c r="T542" s="67"/>
      <c r="U542" s="67"/>
      <c r="V542" s="67"/>
      <c r="W542" s="67"/>
      <c r="X542" s="67"/>
      <c r="Y542" s="67"/>
    </row>
    <row r="543" spans="2:25" ht="14.25">
      <c r="B543" s="15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15"/>
      <c r="N543" s="15"/>
      <c r="O543" s="15"/>
      <c r="P543" s="15"/>
      <c r="Q543" s="15"/>
      <c r="R543" s="15"/>
      <c r="S543" s="15"/>
      <c r="T543" s="67"/>
      <c r="U543" s="67"/>
      <c r="V543" s="67"/>
      <c r="W543" s="67"/>
      <c r="X543" s="67"/>
      <c r="Y543" s="67"/>
    </row>
    <row r="544" spans="2:25" ht="14.25">
      <c r="B544" s="15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15"/>
      <c r="N544" s="15"/>
      <c r="O544" s="15"/>
      <c r="P544" s="15"/>
      <c r="Q544" s="15"/>
      <c r="R544" s="15"/>
      <c r="S544" s="15"/>
      <c r="T544" s="67"/>
      <c r="U544" s="67"/>
      <c r="V544" s="67"/>
      <c r="W544" s="67"/>
      <c r="X544" s="67"/>
      <c r="Y544" s="67"/>
    </row>
    <row r="545" spans="2:25" ht="14.25">
      <c r="B545" s="15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15"/>
      <c r="N545" s="15"/>
      <c r="O545" s="15"/>
      <c r="P545" s="15"/>
      <c r="Q545" s="15"/>
      <c r="R545" s="15"/>
      <c r="S545" s="15"/>
      <c r="T545" s="67"/>
      <c r="U545" s="67"/>
      <c r="V545" s="67"/>
      <c r="W545" s="67"/>
      <c r="X545" s="67"/>
      <c r="Y545" s="67"/>
    </row>
    <row r="546" spans="2:25" ht="14.25">
      <c r="B546" s="15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15"/>
      <c r="N546" s="15"/>
      <c r="O546" s="15"/>
      <c r="P546" s="15"/>
      <c r="Q546" s="15"/>
      <c r="R546" s="15"/>
      <c r="S546" s="15"/>
      <c r="T546" s="67"/>
      <c r="U546" s="67"/>
      <c r="V546" s="67"/>
      <c r="W546" s="67"/>
      <c r="X546" s="67"/>
      <c r="Y546" s="67"/>
    </row>
    <row r="547" spans="2:25" ht="14.25">
      <c r="B547" s="15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15"/>
      <c r="N547" s="15"/>
      <c r="O547" s="15"/>
      <c r="P547" s="15"/>
      <c r="Q547" s="15"/>
      <c r="R547" s="15"/>
      <c r="S547" s="15"/>
      <c r="T547" s="67"/>
      <c r="U547" s="67"/>
      <c r="V547" s="67"/>
      <c r="W547" s="67"/>
      <c r="X547" s="67"/>
      <c r="Y547" s="67"/>
    </row>
    <row r="548" spans="2:25" ht="14.25">
      <c r="B548" s="15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15"/>
      <c r="N548" s="15"/>
      <c r="O548" s="15"/>
      <c r="P548" s="15"/>
      <c r="Q548" s="15"/>
      <c r="R548" s="15"/>
      <c r="S548" s="15"/>
      <c r="T548" s="67"/>
      <c r="U548" s="67"/>
      <c r="V548" s="67"/>
      <c r="W548" s="67"/>
      <c r="X548" s="67"/>
      <c r="Y548" s="67"/>
    </row>
    <row r="549" spans="2:25" ht="14.25">
      <c r="B549" s="15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15"/>
      <c r="N549" s="15"/>
      <c r="O549" s="15"/>
      <c r="P549" s="15"/>
      <c r="Q549" s="15"/>
      <c r="R549" s="15"/>
      <c r="S549" s="15"/>
      <c r="T549" s="67"/>
      <c r="U549" s="67"/>
      <c r="V549" s="67"/>
      <c r="W549" s="67"/>
      <c r="X549" s="67"/>
      <c r="Y549" s="67"/>
    </row>
    <row r="550" spans="2:25" ht="14.25">
      <c r="B550" s="15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15"/>
      <c r="N550" s="15"/>
      <c r="O550" s="15"/>
      <c r="P550" s="15"/>
      <c r="Q550" s="15"/>
      <c r="R550" s="15"/>
      <c r="S550" s="15"/>
      <c r="T550" s="67"/>
      <c r="U550" s="67"/>
      <c r="V550" s="67"/>
      <c r="W550" s="67"/>
      <c r="X550" s="67"/>
      <c r="Y550" s="67"/>
    </row>
    <row r="551" spans="2:25" ht="14.25">
      <c r="B551" s="15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15"/>
      <c r="N551" s="15"/>
      <c r="O551" s="15"/>
      <c r="P551" s="15"/>
      <c r="Q551" s="15"/>
      <c r="R551" s="15"/>
      <c r="S551" s="15"/>
      <c r="T551" s="67"/>
      <c r="U551" s="67"/>
      <c r="V551" s="67"/>
      <c r="W551" s="67"/>
      <c r="X551" s="67"/>
      <c r="Y551" s="67"/>
    </row>
    <row r="552" spans="2:25" ht="14.25">
      <c r="B552" s="15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15"/>
      <c r="N552" s="15"/>
      <c r="O552" s="15"/>
      <c r="P552" s="15"/>
      <c r="Q552" s="15"/>
      <c r="R552" s="15"/>
      <c r="S552" s="15"/>
      <c r="T552" s="67"/>
      <c r="U552" s="67"/>
      <c r="V552" s="67"/>
      <c r="W552" s="67"/>
      <c r="X552" s="67"/>
      <c r="Y552" s="67"/>
    </row>
    <row r="553" spans="2:25" ht="14.25">
      <c r="B553" s="15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15"/>
      <c r="N553" s="15"/>
      <c r="O553" s="15"/>
      <c r="P553" s="15"/>
      <c r="Q553" s="15"/>
      <c r="R553" s="15"/>
      <c r="S553" s="15"/>
      <c r="T553" s="67"/>
      <c r="U553" s="67"/>
      <c r="V553" s="67"/>
      <c r="W553" s="67"/>
      <c r="X553" s="67"/>
      <c r="Y553" s="67"/>
    </row>
    <row r="554" spans="2:25" ht="14.25">
      <c r="B554" s="15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15"/>
      <c r="N554" s="15"/>
      <c r="O554" s="15"/>
      <c r="P554" s="15"/>
      <c r="Q554" s="15"/>
      <c r="R554" s="15"/>
      <c r="S554" s="15"/>
      <c r="T554" s="67"/>
      <c r="U554" s="67"/>
      <c r="V554" s="67"/>
      <c r="W554" s="67"/>
      <c r="X554" s="67"/>
      <c r="Y554" s="67"/>
    </row>
    <row r="555" spans="2:25" ht="14.25">
      <c r="B555" s="15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15"/>
      <c r="N555" s="15"/>
      <c r="O555" s="15"/>
      <c r="P555" s="15"/>
      <c r="Q555" s="15"/>
      <c r="R555" s="15"/>
      <c r="S555" s="15"/>
      <c r="T555" s="67"/>
      <c r="U555" s="67"/>
      <c r="V555" s="67"/>
      <c r="W555" s="67"/>
      <c r="X555" s="67"/>
      <c r="Y555" s="67"/>
    </row>
    <row r="556" spans="2:25" ht="14.25">
      <c r="B556" s="15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15"/>
      <c r="N556" s="15"/>
      <c r="O556" s="15"/>
      <c r="P556" s="15"/>
      <c r="Q556" s="15"/>
      <c r="R556" s="15"/>
      <c r="S556" s="15"/>
      <c r="T556" s="67"/>
      <c r="U556" s="67"/>
      <c r="V556" s="67"/>
      <c r="W556" s="67"/>
      <c r="X556" s="67"/>
      <c r="Y556" s="67"/>
    </row>
    <row r="557" spans="2:25" ht="14.25">
      <c r="B557" s="15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15"/>
      <c r="N557" s="15"/>
      <c r="O557" s="15"/>
      <c r="P557" s="15"/>
      <c r="Q557" s="15"/>
      <c r="R557" s="15"/>
      <c r="S557" s="15"/>
      <c r="T557" s="67"/>
      <c r="U557" s="67"/>
      <c r="V557" s="67"/>
      <c r="W557" s="67"/>
      <c r="X557" s="67"/>
      <c r="Y557" s="67"/>
    </row>
    <row r="558" spans="2:25" ht="14.25">
      <c r="B558" s="15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15"/>
      <c r="N558" s="15"/>
      <c r="O558" s="15"/>
      <c r="P558" s="15"/>
      <c r="Q558" s="15"/>
      <c r="R558" s="15"/>
      <c r="S558" s="15"/>
      <c r="T558" s="67"/>
      <c r="U558" s="67"/>
      <c r="V558" s="67"/>
      <c r="W558" s="67"/>
      <c r="X558" s="67"/>
      <c r="Y558" s="67"/>
    </row>
    <row r="559" spans="2:25" ht="14.25">
      <c r="B559" s="15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15"/>
      <c r="N559" s="15"/>
      <c r="O559" s="15"/>
      <c r="P559" s="15"/>
      <c r="Q559" s="15"/>
      <c r="R559" s="15"/>
      <c r="S559" s="15"/>
      <c r="T559" s="67"/>
      <c r="U559" s="67"/>
      <c r="V559" s="67"/>
      <c r="W559" s="67"/>
      <c r="X559" s="67"/>
      <c r="Y559" s="67"/>
    </row>
    <row r="560" spans="2:25" ht="14.25">
      <c r="B560" s="15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15"/>
      <c r="N560" s="15"/>
      <c r="O560" s="15"/>
      <c r="P560" s="15"/>
      <c r="Q560" s="15"/>
      <c r="R560" s="15"/>
      <c r="S560" s="15"/>
      <c r="T560" s="67"/>
      <c r="U560" s="67"/>
      <c r="V560" s="67"/>
      <c r="W560" s="67"/>
      <c r="X560" s="67"/>
      <c r="Y560" s="67"/>
    </row>
    <row r="561" spans="2:25" ht="14.25">
      <c r="B561" s="15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15"/>
      <c r="N561" s="15"/>
      <c r="O561" s="15"/>
      <c r="P561" s="15"/>
      <c r="Q561" s="15"/>
      <c r="R561" s="15"/>
      <c r="S561" s="15"/>
      <c r="T561" s="67"/>
      <c r="U561" s="67"/>
      <c r="V561" s="67"/>
      <c r="W561" s="67"/>
      <c r="X561" s="67"/>
      <c r="Y561" s="67"/>
    </row>
    <row r="562" spans="2:25" ht="14.25">
      <c r="B562" s="15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15"/>
      <c r="N562" s="15"/>
      <c r="O562" s="15"/>
      <c r="P562" s="15"/>
      <c r="Q562" s="15"/>
      <c r="R562" s="15"/>
      <c r="S562" s="15"/>
      <c r="T562" s="67"/>
      <c r="U562" s="67"/>
      <c r="V562" s="67"/>
      <c r="W562" s="67"/>
      <c r="X562" s="67"/>
      <c r="Y562" s="67"/>
    </row>
    <row r="563" spans="2:25" ht="14.25">
      <c r="B563" s="15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15"/>
      <c r="N563" s="15"/>
      <c r="O563" s="15"/>
      <c r="P563" s="15"/>
      <c r="Q563" s="15"/>
      <c r="R563" s="15"/>
      <c r="S563" s="15"/>
      <c r="T563" s="67"/>
      <c r="U563" s="67"/>
      <c r="V563" s="67"/>
      <c r="W563" s="67"/>
      <c r="X563" s="67"/>
      <c r="Y563" s="67"/>
    </row>
    <row r="564" spans="2:25" ht="14.25">
      <c r="B564" s="15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15"/>
      <c r="N564" s="15"/>
      <c r="O564" s="15"/>
      <c r="P564" s="15"/>
      <c r="Q564" s="15"/>
      <c r="R564" s="15"/>
      <c r="S564" s="15"/>
      <c r="T564" s="67"/>
      <c r="U564" s="67"/>
      <c r="V564" s="67"/>
      <c r="W564" s="67"/>
      <c r="X564" s="67"/>
      <c r="Y564" s="67"/>
    </row>
    <row r="565" spans="2:25" ht="14.25">
      <c r="B565" s="15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15"/>
      <c r="N565" s="15"/>
      <c r="O565" s="15"/>
      <c r="P565" s="15"/>
      <c r="Q565" s="15"/>
      <c r="R565" s="15"/>
      <c r="S565" s="15"/>
      <c r="T565" s="67"/>
      <c r="U565" s="67"/>
      <c r="V565" s="67"/>
      <c r="W565" s="67"/>
      <c r="X565" s="67"/>
      <c r="Y565" s="67"/>
    </row>
    <row r="566" spans="2:25" ht="14.25">
      <c r="B566" s="15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15"/>
      <c r="N566" s="15"/>
      <c r="O566" s="15"/>
      <c r="P566" s="15"/>
      <c r="Q566" s="15"/>
      <c r="R566" s="15"/>
      <c r="S566" s="15"/>
      <c r="T566" s="67"/>
      <c r="U566" s="67"/>
      <c r="V566" s="67"/>
      <c r="W566" s="67"/>
      <c r="X566" s="67"/>
      <c r="Y566" s="67"/>
    </row>
    <row r="567" spans="2:25" ht="14.25">
      <c r="B567" s="15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15"/>
      <c r="N567" s="15"/>
      <c r="O567" s="15"/>
      <c r="P567" s="15"/>
      <c r="Q567" s="15"/>
      <c r="R567" s="15"/>
      <c r="S567" s="15"/>
      <c r="T567" s="67"/>
      <c r="U567" s="67"/>
      <c r="V567" s="67"/>
      <c r="W567" s="67"/>
      <c r="X567" s="67"/>
      <c r="Y567" s="67"/>
    </row>
    <row r="568" spans="2:25" ht="14.25">
      <c r="B568" s="15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15"/>
      <c r="N568" s="15"/>
      <c r="O568" s="15"/>
      <c r="P568" s="15"/>
      <c r="Q568" s="15"/>
      <c r="R568" s="15"/>
      <c r="S568" s="15"/>
      <c r="T568" s="67"/>
      <c r="U568" s="67"/>
      <c r="V568" s="67"/>
      <c r="W568" s="67"/>
      <c r="X568" s="67"/>
      <c r="Y568" s="67"/>
    </row>
    <row r="569" spans="2:25" ht="14.25">
      <c r="B569" s="15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15"/>
      <c r="N569" s="15"/>
      <c r="O569" s="15"/>
      <c r="P569" s="15"/>
      <c r="Q569" s="15"/>
      <c r="R569" s="15"/>
      <c r="S569" s="15"/>
      <c r="T569" s="67"/>
      <c r="U569" s="67"/>
      <c r="V569" s="67"/>
      <c r="W569" s="67"/>
      <c r="X569" s="67"/>
      <c r="Y569" s="67"/>
    </row>
    <row r="570" spans="2:25" ht="14.25">
      <c r="B570" s="15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15"/>
      <c r="N570" s="15"/>
      <c r="O570" s="15"/>
      <c r="P570" s="15"/>
      <c r="Q570" s="15"/>
      <c r="R570" s="15"/>
      <c r="S570" s="15"/>
      <c r="T570" s="67"/>
      <c r="U570" s="67"/>
      <c r="V570" s="67"/>
      <c r="W570" s="67"/>
      <c r="X570" s="67"/>
      <c r="Y570" s="67"/>
    </row>
    <row r="571" spans="2:25" ht="14.25">
      <c r="B571" s="15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15"/>
      <c r="N571" s="15"/>
      <c r="O571" s="15"/>
      <c r="P571" s="15"/>
      <c r="Q571" s="15"/>
      <c r="R571" s="15"/>
      <c r="S571" s="15"/>
      <c r="T571" s="67"/>
      <c r="U571" s="67"/>
      <c r="V571" s="67"/>
      <c r="W571" s="67"/>
      <c r="X571" s="67"/>
      <c r="Y571" s="67"/>
    </row>
    <row r="572" spans="2:25" ht="14.25">
      <c r="B572" s="15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15"/>
      <c r="N572" s="15"/>
      <c r="O572" s="15"/>
      <c r="P572" s="15"/>
      <c r="Q572" s="15"/>
      <c r="R572" s="15"/>
      <c r="S572" s="15"/>
      <c r="T572" s="67"/>
      <c r="U572" s="67"/>
      <c r="V572" s="67"/>
      <c r="W572" s="67"/>
      <c r="X572" s="67"/>
      <c r="Y572" s="67"/>
    </row>
    <row r="573" spans="2:25" ht="14.25">
      <c r="B573" s="15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15"/>
      <c r="N573" s="15"/>
      <c r="O573" s="15"/>
      <c r="P573" s="15"/>
      <c r="Q573" s="15"/>
      <c r="R573" s="15"/>
      <c r="S573" s="15"/>
      <c r="T573" s="67"/>
      <c r="U573" s="67"/>
      <c r="V573" s="67"/>
      <c r="W573" s="67"/>
      <c r="X573" s="67"/>
      <c r="Y573" s="67"/>
    </row>
    <row r="574" spans="2:25" ht="14.25">
      <c r="B574" s="15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15"/>
      <c r="N574" s="15"/>
      <c r="O574" s="15"/>
      <c r="P574" s="15"/>
      <c r="Q574" s="15"/>
      <c r="R574" s="15"/>
      <c r="S574" s="15"/>
      <c r="T574" s="67"/>
      <c r="U574" s="67"/>
      <c r="V574" s="67"/>
      <c r="W574" s="67"/>
      <c r="X574" s="67"/>
      <c r="Y574" s="67"/>
    </row>
    <row r="575" spans="2:25" ht="14.25">
      <c r="B575" s="15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15"/>
      <c r="N575" s="15"/>
      <c r="O575" s="15"/>
      <c r="P575" s="15"/>
      <c r="Q575" s="15"/>
      <c r="R575" s="15"/>
      <c r="S575" s="15"/>
      <c r="T575" s="67"/>
      <c r="U575" s="67"/>
      <c r="V575" s="67"/>
      <c r="W575" s="67"/>
      <c r="X575" s="67"/>
      <c r="Y575" s="67"/>
    </row>
    <row r="576" spans="2:25" ht="14.25">
      <c r="B576" s="15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15"/>
      <c r="N576" s="15"/>
      <c r="O576" s="15"/>
      <c r="P576" s="15"/>
      <c r="Q576" s="15"/>
      <c r="R576" s="15"/>
      <c r="S576" s="15"/>
      <c r="T576" s="67"/>
      <c r="U576" s="67"/>
      <c r="V576" s="67"/>
      <c r="W576" s="67"/>
      <c r="X576" s="67"/>
      <c r="Y576" s="67"/>
    </row>
    <row r="577" spans="2:25" ht="14.25">
      <c r="B577" s="15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15"/>
      <c r="N577" s="15"/>
      <c r="O577" s="15"/>
      <c r="P577" s="15"/>
      <c r="Q577" s="15"/>
      <c r="R577" s="15"/>
      <c r="S577" s="15"/>
      <c r="T577" s="67"/>
      <c r="U577" s="67"/>
      <c r="V577" s="67"/>
      <c r="W577" s="67"/>
      <c r="X577" s="67"/>
      <c r="Y577" s="67"/>
    </row>
    <row r="578" spans="2:25" ht="14.25">
      <c r="B578" s="15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15"/>
      <c r="N578" s="15"/>
      <c r="O578" s="15"/>
      <c r="P578" s="15"/>
      <c r="Q578" s="15"/>
      <c r="R578" s="15"/>
      <c r="S578" s="15"/>
      <c r="T578" s="67"/>
      <c r="U578" s="67"/>
      <c r="V578" s="67"/>
      <c r="W578" s="67"/>
      <c r="X578" s="67"/>
      <c r="Y578" s="67"/>
    </row>
    <row r="579" spans="2:25" ht="14.25">
      <c r="B579" s="15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15"/>
      <c r="N579" s="15"/>
      <c r="O579" s="15"/>
      <c r="P579" s="15"/>
      <c r="Q579" s="15"/>
      <c r="R579" s="15"/>
      <c r="S579" s="15"/>
      <c r="T579" s="67"/>
      <c r="U579" s="67"/>
      <c r="V579" s="67"/>
      <c r="W579" s="67"/>
      <c r="X579" s="67"/>
      <c r="Y579" s="67"/>
    </row>
    <row r="580" spans="2:25" ht="14.25">
      <c r="B580" s="15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15"/>
      <c r="N580" s="15"/>
      <c r="O580" s="15"/>
      <c r="P580" s="15"/>
      <c r="Q580" s="15"/>
      <c r="R580" s="15"/>
      <c r="S580" s="15"/>
      <c r="T580" s="67"/>
      <c r="U580" s="67"/>
      <c r="V580" s="67"/>
      <c r="W580" s="67"/>
      <c r="X580" s="67"/>
      <c r="Y580" s="67"/>
    </row>
    <row r="581" spans="2:25" ht="14.25">
      <c r="B581" s="15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15"/>
      <c r="N581" s="15"/>
      <c r="O581" s="15"/>
      <c r="P581" s="15"/>
      <c r="Q581" s="15"/>
      <c r="R581" s="15"/>
      <c r="S581" s="15"/>
      <c r="T581" s="67"/>
      <c r="U581" s="67"/>
      <c r="V581" s="67"/>
      <c r="W581" s="67"/>
      <c r="X581" s="67"/>
      <c r="Y581" s="67"/>
    </row>
    <row r="582" spans="2:25" ht="14.25">
      <c r="B582" s="15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15"/>
      <c r="N582" s="15"/>
      <c r="O582" s="15"/>
      <c r="P582" s="15"/>
      <c r="Q582" s="15"/>
      <c r="R582" s="15"/>
      <c r="S582" s="15"/>
      <c r="T582" s="67"/>
      <c r="U582" s="67"/>
      <c r="V582" s="67"/>
      <c r="W582" s="67"/>
      <c r="X582" s="67"/>
      <c r="Y582" s="67"/>
    </row>
    <row r="583" spans="2:25" ht="14.25">
      <c r="B583" s="15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15"/>
      <c r="N583" s="15"/>
      <c r="O583" s="15"/>
      <c r="P583" s="15"/>
      <c r="Q583" s="15"/>
      <c r="R583" s="15"/>
      <c r="S583" s="15"/>
      <c r="T583" s="67"/>
      <c r="U583" s="67"/>
      <c r="V583" s="67"/>
      <c r="W583" s="67"/>
      <c r="X583" s="67"/>
      <c r="Y583" s="67"/>
    </row>
    <row r="584" spans="2:25" ht="14.25">
      <c r="B584" s="15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15"/>
      <c r="N584" s="15"/>
      <c r="O584" s="15"/>
      <c r="P584" s="15"/>
      <c r="Q584" s="15"/>
      <c r="R584" s="15"/>
      <c r="S584" s="15"/>
      <c r="T584" s="67"/>
      <c r="U584" s="67"/>
      <c r="V584" s="67"/>
      <c r="W584" s="67"/>
      <c r="X584" s="67"/>
      <c r="Y584" s="67"/>
    </row>
    <row r="585" spans="2:25" ht="14.25">
      <c r="B585" s="15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15"/>
      <c r="N585" s="15"/>
      <c r="O585" s="15"/>
      <c r="P585" s="15"/>
      <c r="Q585" s="15"/>
      <c r="R585" s="15"/>
      <c r="S585" s="15"/>
      <c r="T585" s="67"/>
      <c r="U585" s="67"/>
      <c r="V585" s="67"/>
      <c r="W585" s="67"/>
      <c r="X585" s="67"/>
      <c r="Y585" s="67"/>
    </row>
    <row r="586" spans="2:25" ht="14.25">
      <c r="B586" s="15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15"/>
      <c r="N586" s="15"/>
      <c r="O586" s="15"/>
      <c r="P586" s="15"/>
      <c r="Q586" s="15"/>
      <c r="R586" s="15"/>
      <c r="S586" s="15"/>
      <c r="T586" s="67"/>
      <c r="U586" s="67"/>
      <c r="V586" s="67"/>
      <c r="W586" s="67"/>
      <c r="X586" s="67"/>
      <c r="Y586" s="67"/>
    </row>
    <row r="587" spans="2:25" ht="14.25">
      <c r="B587" s="15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15"/>
      <c r="N587" s="15"/>
      <c r="O587" s="15"/>
      <c r="P587" s="15"/>
      <c r="Q587" s="15"/>
      <c r="R587" s="15"/>
      <c r="S587" s="15"/>
      <c r="T587" s="67"/>
      <c r="U587" s="67"/>
      <c r="V587" s="67"/>
      <c r="W587" s="67"/>
      <c r="X587" s="67"/>
      <c r="Y587" s="67"/>
    </row>
    <row r="588" spans="2:25" ht="14.25">
      <c r="B588" s="15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15"/>
      <c r="N588" s="15"/>
      <c r="O588" s="15"/>
      <c r="P588" s="15"/>
      <c r="Q588" s="15"/>
      <c r="R588" s="15"/>
      <c r="S588" s="15"/>
      <c r="T588" s="67"/>
      <c r="U588" s="67"/>
      <c r="V588" s="67"/>
      <c r="W588" s="67"/>
      <c r="X588" s="67"/>
      <c r="Y588" s="67"/>
    </row>
    <row r="589" spans="2:25" ht="14.25">
      <c r="B589" s="15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15"/>
      <c r="N589" s="15"/>
      <c r="O589" s="15"/>
      <c r="P589" s="15"/>
      <c r="Q589" s="15"/>
      <c r="R589" s="15"/>
      <c r="S589" s="15"/>
      <c r="T589" s="67"/>
      <c r="U589" s="67"/>
      <c r="V589" s="67"/>
      <c r="W589" s="67"/>
      <c r="X589" s="67"/>
      <c r="Y589" s="67"/>
    </row>
    <row r="590" spans="2:25" ht="14.25">
      <c r="B590" s="15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15"/>
      <c r="N590" s="15"/>
      <c r="O590" s="15"/>
      <c r="P590" s="15"/>
      <c r="Q590" s="15"/>
      <c r="R590" s="15"/>
      <c r="S590" s="15"/>
      <c r="T590" s="67"/>
      <c r="U590" s="67"/>
      <c r="V590" s="67"/>
      <c r="W590" s="67"/>
      <c r="X590" s="67"/>
      <c r="Y590" s="67"/>
    </row>
    <row r="591" spans="2:25" ht="14.25">
      <c r="B591" s="15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15"/>
      <c r="N591" s="15"/>
      <c r="O591" s="15"/>
      <c r="P591" s="15"/>
      <c r="Q591" s="15"/>
      <c r="R591" s="15"/>
      <c r="S591" s="15"/>
      <c r="T591" s="67"/>
      <c r="U591" s="67"/>
      <c r="V591" s="67"/>
      <c r="W591" s="67"/>
      <c r="X591" s="67"/>
      <c r="Y591" s="67"/>
    </row>
    <row r="592" spans="2:25" ht="14.25">
      <c r="B592" s="15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15"/>
      <c r="N592" s="15"/>
      <c r="O592" s="15"/>
      <c r="P592" s="15"/>
      <c r="Q592" s="15"/>
      <c r="R592" s="15"/>
      <c r="S592" s="15"/>
      <c r="T592" s="67"/>
      <c r="U592" s="67"/>
      <c r="V592" s="67"/>
      <c r="W592" s="67"/>
      <c r="X592" s="67"/>
      <c r="Y592" s="67"/>
    </row>
    <row r="593" spans="2:25" ht="14.25">
      <c r="B593" s="15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15"/>
      <c r="N593" s="15"/>
      <c r="O593" s="15"/>
      <c r="P593" s="15"/>
      <c r="Q593" s="15"/>
      <c r="R593" s="15"/>
      <c r="S593" s="15"/>
      <c r="T593" s="67"/>
      <c r="U593" s="67"/>
      <c r="V593" s="67"/>
      <c r="W593" s="67"/>
      <c r="X593" s="67"/>
      <c r="Y593" s="67"/>
    </row>
    <row r="594" spans="2:25" ht="14.25">
      <c r="B594" s="15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15"/>
      <c r="N594" s="15"/>
      <c r="O594" s="15"/>
      <c r="P594" s="15"/>
      <c r="Q594" s="15"/>
      <c r="R594" s="15"/>
      <c r="S594" s="15"/>
      <c r="T594" s="67"/>
      <c r="U594" s="67"/>
      <c r="V594" s="67"/>
      <c r="W594" s="67"/>
      <c r="X594" s="67"/>
      <c r="Y594" s="67"/>
    </row>
    <row r="595" spans="2:25" ht="14.25">
      <c r="B595" s="15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15"/>
      <c r="N595" s="15"/>
      <c r="O595" s="15"/>
      <c r="P595" s="15"/>
      <c r="Q595" s="15"/>
      <c r="R595" s="15"/>
      <c r="S595" s="15"/>
      <c r="T595" s="67"/>
      <c r="U595" s="67"/>
      <c r="V595" s="67"/>
      <c r="W595" s="67"/>
      <c r="X595" s="67"/>
      <c r="Y595" s="67"/>
    </row>
    <row r="596" spans="2:25" ht="14.25">
      <c r="B596" s="15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15"/>
      <c r="N596" s="15"/>
      <c r="O596" s="15"/>
      <c r="P596" s="15"/>
      <c r="Q596" s="15"/>
      <c r="R596" s="15"/>
      <c r="S596" s="15"/>
      <c r="T596" s="67"/>
      <c r="U596" s="67"/>
      <c r="V596" s="67"/>
      <c r="W596" s="67"/>
      <c r="X596" s="67"/>
      <c r="Y596" s="67"/>
    </row>
    <row r="597" spans="2:25" ht="14.25">
      <c r="B597" s="15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15"/>
      <c r="N597" s="15"/>
      <c r="O597" s="15"/>
      <c r="P597" s="15"/>
      <c r="Q597" s="15"/>
      <c r="R597" s="15"/>
      <c r="S597" s="15"/>
      <c r="T597" s="67"/>
      <c r="U597" s="67"/>
      <c r="V597" s="67"/>
      <c r="W597" s="67"/>
      <c r="X597" s="67"/>
      <c r="Y597" s="67"/>
    </row>
    <row r="598" spans="2:25" ht="14.25">
      <c r="B598" s="15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15"/>
      <c r="N598" s="15"/>
      <c r="O598" s="15"/>
      <c r="P598" s="15"/>
      <c r="Q598" s="15"/>
      <c r="R598" s="15"/>
      <c r="S598" s="15"/>
      <c r="T598" s="67"/>
      <c r="U598" s="67"/>
      <c r="V598" s="67"/>
      <c r="W598" s="67"/>
      <c r="X598" s="67"/>
      <c r="Y598" s="67"/>
    </row>
    <row r="599" spans="2:25" ht="14.25">
      <c r="B599" s="15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15"/>
      <c r="N599" s="15"/>
      <c r="O599" s="15"/>
      <c r="P599" s="15"/>
      <c r="Q599" s="15"/>
      <c r="R599" s="15"/>
      <c r="S599" s="15"/>
      <c r="T599" s="67"/>
      <c r="U599" s="67"/>
      <c r="V599" s="67"/>
      <c r="W599" s="67"/>
      <c r="X599" s="67"/>
      <c r="Y599" s="67"/>
    </row>
    <row r="600" spans="2:25" ht="14.25">
      <c r="B600" s="15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15"/>
      <c r="N600" s="15"/>
      <c r="O600" s="15"/>
      <c r="P600" s="15"/>
      <c r="Q600" s="15"/>
      <c r="R600" s="15"/>
      <c r="S600" s="15"/>
      <c r="T600" s="67"/>
      <c r="U600" s="67"/>
      <c r="V600" s="67"/>
      <c r="W600" s="67"/>
      <c r="X600" s="67"/>
      <c r="Y600" s="67"/>
    </row>
    <row r="601" spans="2:25" ht="14.25">
      <c r="B601" s="15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15"/>
      <c r="N601" s="15"/>
      <c r="O601" s="15"/>
      <c r="P601" s="15"/>
      <c r="Q601" s="15"/>
      <c r="R601" s="15"/>
      <c r="S601" s="15"/>
      <c r="T601" s="67"/>
      <c r="U601" s="67"/>
      <c r="V601" s="67"/>
      <c r="W601" s="67"/>
      <c r="X601" s="67"/>
      <c r="Y601" s="67"/>
    </row>
    <row r="602" spans="2:25" ht="14.25">
      <c r="B602" s="15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15"/>
      <c r="N602" s="15"/>
      <c r="O602" s="15"/>
      <c r="P602" s="15"/>
      <c r="Q602" s="15"/>
      <c r="R602" s="15"/>
      <c r="S602" s="15"/>
      <c r="T602" s="67"/>
      <c r="U602" s="67"/>
      <c r="V602" s="67"/>
      <c r="W602" s="67"/>
      <c r="X602" s="67"/>
      <c r="Y602" s="67"/>
    </row>
    <row r="603" spans="2:25" ht="14.25">
      <c r="B603" s="15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15"/>
      <c r="N603" s="15"/>
      <c r="O603" s="15"/>
      <c r="P603" s="15"/>
      <c r="Q603" s="15"/>
      <c r="R603" s="15"/>
      <c r="S603" s="15"/>
      <c r="T603" s="67"/>
      <c r="U603" s="67"/>
      <c r="V603" s="67"/>
      <c r="W603" s="67"/>
      <c r="X603" s="67"/>
      <c r="Y603" s="67"/>
    </row>
    <row r="604" spans="2:25" ht="14.25">
      <c r="B604" s="15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15"/>
      <c r="N604" s="15"/>
      <c r="O604" s="15"/>
      <c r="P604" s="15"/>
      <c r="Q604" s="15"/>
      <c r="R604" s="15"/>
      <c r="S604" s="15"/>
      <c r="T604" s="67"/>
      <c r="U604" s="67"/>
      <c r="V604" s="67"/>
      <c r="W604" s="67"/>
      <c r="X604" s="67"/>
      <c r="Y604" s="67"/>
    </row>
    <row r="605" spans="2:25" ht="14.25">
      <c r="B605" s="15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15"/>
      <c r="N605" s="15"/>
      <c r="O605" s="15"/>
      <c r="P605" s="15"/>
      <c r="Q605" s="15"/>
      <c r="R605" s="15"/>
      <c r="S605" s="15"/>
      <c r="T605" s="67"/>
      <c r="U605" s="67"/>
      <c r="V605" s="67"/>
      <c r="W605" s="67"/>
      <c r="X605" s="67"/>
      <c r="Y605" s="67"/>
    </row>
    <row r="606" spans="2:25" ht="14.25">
      <c r="B606" s="15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15"/>
      <c r="N606" s="15"/>
      <c r="O606" s="15"/>
      <c r="P606" s="15"/>
      <c r="Q606" s="15"/>
      <c r="R606" s="15"/>
      <c r="S606" s="15"/>
      <c r="T606" s="67"/>
      <c r="U606" s="67"/>
      <c r="V606" s="67"/>
      <c r="W606" s="67"/>
      <c r="X606" s="67"/>
      <c r="Y606" s="67"/>
    </row>
    <row r="607" spans="2:25" ht="14.25">
      <c r="B607" s="15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15"/>
      <c r="N607" s="15"/>
      <c r="O607" s="15"/>
      <c r="P607" s="15"/>
      <c r="Q607" s="15"/>
      <c r="R607" s="15"/>
      <c r="S607" s="15"/>
      <c r="T607" s="67"/>
      <c r="U607" s="67"/>
      <c r="V607" s="67"/>
      <c r="W607" s="67"/>
      <c r="X607" s="67"/>
      <c r="Y607" s="67"/>
    </row>
    <row r="608" spans="2:25" ht="14.25">
      <c r="B608" s="15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15"/>
      <c r="N608" s="15"/>
      <c r="O608" s="15"/>
      <c r="P608" s="15"/>
      <c r="Q608" s="15"/>
      <c r="R608" s="15"/>
      <c r="S608" s="15"/>
      <c r="T608" s="67"/>
      <c r="U608" s="67"/>
      <c r="V608" s="67"/>
      <c r="W608" s="67"/>
      <c r="X608" s="67"/>
      <c r="Y608" s="67"/>
    </row>
    <row r="609" spans="2:25" ht="14.25">
      <c r="B609" s="15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15"/>
      <c r="N609" s="15"/>
      <c r="O609" s="15"/>
      <c r="P609" s="15"/>
      <c r="Q609" s="15"/>
      <c r="R609" s="15"/>
      <c r="S609" s="15"/>
      <c r="T609" s="67"/>
      <c r="U609" s="67"/>
      <c r="V609" s="67"/>
      <c r="W609" s="67"/>
      <c r="X609" s="67"/>
      <c r="Y609" s="67"/>
    </row>
    <row r="610" spans="2:25" ht="14.25">
      <c r="B610" s="15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15"/>
      <c r="N610" s="15"/>
      <c r="O610" s="15"/>
      <c r="P610" s="15"/>
      <c r="Q610" s="15"/>
      <c r="R610" s="15"/>
      <c r="S610" s="15"/>
      <c r="T610" s="67"/>
      <c r="U610" s="67"/>
      <c r="V610" s="67"/>
      <c r="W610" s="67"/>
      <c r="X610" s="67"/>
      <c r="Y610" s="67"/>
    </row>
    <row r="611" spans="2:25" ht="14.25">
      <c r="B611" s="15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15"/>
      <c r="N611" s="15"/>
      <c r="O611" s="15"/>
      <c r="P611" s="15"/>
      <c r="Q611" s="15"/>
      <c r="R611" s="15"/>
      <c r="S611" s="15"/>
      <c r="T611" s="67"/>
      <c r="U611" s="67"/>
      <c r="V611" s="67"/>
      <c r="W611" s="67"/>
      <c r="X611" s="67"/>
      <c r="Y611" s="67"/>
    </row>
    <row r="612" spans="2:25" ht="14.25">
      <c r="B612" s="15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15"/>
      <c r="N612" s="15"/>
      <c r="O612" s="15"/>
      <c r="P612" s="15"/>
      <c r="Q612" s="15"/>
      <c r="R612" s="15"/>
      <c r="S612" s="15"/>
      <c r="T612" s="67"/>
      <c r="U612" s="67"/>
      <c r="V612" s="67"/>
      <c r="W612" s="67"/>
      <c r="X612" s="67"/>
      <c r="Y612" s="67"/>
    </row>
    <row r="613" spans="2:25" ht="14.25">
      <c r="B613" s="15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15"/>
      <c r="N613" s="15"/>
      <c r="O613" s="15"/>
      <c r="P613" s="15"/>
      <c r="Q613" s="15"/>
      <c r="R613" s="15"/>
      <c r="S613" s="15"/>
      <c r="T613" s="67"/>
      <c r="U613" s="67"/>
      <c r="V613" s="67"/>
      <c r="W613" s="67"/>
      <c r="X613" s="67"/>
      <c r="Y613" s="67"/>
    </row>
    <row r="614" spans="2:25" ht="14.25">
      <c r="B614" s="15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15"/>
      <c r="N614" s="15"/>
      <c r="O614" s="15"/>
      <c r="P614" s="15"/>
      <c r="Q614" s="15"/>
      <c r="R614" s="15"/>
      <c r="S614" s="15"/>
      <c r="T614" s="67"/>
      <c r="U614" s="67"/>
      <c r="V614" s="67"/>
      <c r="W614" s="67"/>
      <c r="X614" s="67"/>
      <c r="Y614" s="67"/>
    </row>
    <row r="615" spans="2:25" ht="14.25">
      <c r="B615" s="15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15"/>
      <c r="N615" s="15"/>
      <c r="O615" s="15"/>
      <c r="P615" s="15"/>
      <c r="Q615" s="15"/>
      <c r="R615" s="15"/>
      <c r="S615" s="15"/>
      <c r="T615" s="67"/>
      <c r="U615" s="67"/>
      <c r="V615" s="67"/>
      <c r="W615" s="67"/>
      <c r="X615" s="67"/>
      <c r="Y615" s="67"/>
    </row>
    <row r="616" spans="2:25" ht="14.25">
      <c r="B616" s="15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15"/>
      <c r="N616" s="15"/>
      <c r="O616" s="15"/>
      <c r="P616" s="15"/>
      <c r="Q616" s="15"/>
      <c r="R616" s="15"/>
      <c r="S616" s="15"/>
      <c r="T616" s="67"/>
      <c r="U616" s="67"/>
      <c r="V616" s="67"/>
      <c r="W616" s="67"/>
      <c r="X616" s="67"/>
      <c r="Y616" s="67"/>
    </row>
    <row r="617" spans="2:25" ht="14.25">
      <c r="B617" s="15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15"/>
      <c r="N617" s="15"/>
      <c r="O617" s="15"/>
      <c r="P617" s="15"/>
      <c r="Q617" s="15"/>
      <c r="R617" s="15"/>
      <c r="S617" s="15"/>
      <c r="T617" s="67"/>
      <c r="U617" s="67"/>
      <c r="V617" s="67"/>
      <c r="W617" s="67"/>
      <c r="X617" s="67"/>
      <c r="Y617" s="67"/>
    </row>
    <row r="618" spans="2:25" ht="14.25">
      <c r="B618" s="15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15"/>
      <c r="N618" s="15"/>
      <c r="O618" s="15"/>
      <c r="P618" s="15"/>
      <c r="Q618" s="15"/>
      <c r="R618" s="15"/>
      <c r="S618" s="15"/>
      <c r="T618" s="67"/>
      <c r="U618" s="67"/>
      <c r="V618" s="67"/>
      <c r="W618" s="67"/>
      <c r="X618" s="67"/>
      <c r="Y618" s="67"/>
    </row>
    <row r="619" spans="2:25" ht="14.25">
      <c r="B619" s="15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15"/>
      <c r="N619" s="15"/>
      <c r="O619" s="15"/>
      <c r="P619" s="15"/>
      <c r="Q619" s="15"/>
      <c r="R619" s="15"/>
      <c r="S619" s="15"/>
      <c r="T619" s="67"/>
      <c r="U619" s="67"/>
      <c r="V619" s="67"/>
      <c r="W619" s="67"/>
      <c r="X619" s="67"/>
      <c r="Y619" s="67"/>
    </row>
    <row r="620" spans="2:25" ht="14.25">
      <c r="B620" s="15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15"/>
      <c r="N620" s="15"/>
      <c r="O620" s="15"/>
      <c r="P620" s="15"/>
      <c r="Q620" s="15"/>
      <c r="R620" s="15"/>
      <c r="S620" s="15"/>
      <c r="T620" s="67"/>
      <c r="U620" s="67"/>
      <c r="V620" s="67"/>
      <c r="W620" s="67"/>
      <c r="X620" s="67"/>
      <c r="Y620" s="67"/>
    </row>
    <row r="621" spans="2:25" ht="14.25">
      <c r="B621" s="15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15"/>
      <c r="N621" s="15"/>
      <c r="O621" s="15"/>
      <c r="P621" s="15"/>
      <c r="Q621" s="15"/>
      <c r="R621" s="15"/>
      <c r="S621" s="15"/>
      <c r="T621" s="67"/>
      <c r="U621" s="67"/>
      <c r="V621" s="67"/>
      <c r="W621" s="67"/>
      <c r="X621" s="67"/>
      <c r="Y621" s="67"/>
    </row>
    <row r="622" spans="2:25" ht="14.25">
      <c r="B622" s="15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15"/>
      <c r="N622" s="15"/>
      <c r="O622" s="15"/>
      <c r="P622" s="15"/>
      <c r="Q622" s="15"/>
      <c r="R622" s="15"/>
      <c r="S622" s="15"/>
      <c r="T622" s="67"/>
      <c r="U622" s="67"/>
      <c r="V622" s="67"/>
      <c r="W622" s="67"/>
      <c r="X622" s="67"/>
      <c r="Y622" s="67"/>
    </row>
    <row r="623" spans="2:25" ht="14.25">
      <c r="B623" s="15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15"/>
      <c r="N623" s="15"/>
      <c r="O623" s="15"/>
      <c r="P623" s="15"/>
      <c r="Q623" s="15"/>
      <c r="R623" s="15"/>
      <c r="S623" s="15"/>
      <c r="T623" s="67"/>
      <c r="U623" s="67"/>
      <c r="V623" s="67"/>
      <c r="W623" s="67"/>
      <c r="X623" s="67"/>
      <c r="Y623" s="67"/>
    </row>
    <row r="624" spans="2:25" ht="14.25">
      <c r="B624" s="15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15"/>
      <c r="N624" s="15"/>
      <c r="O624" s="15"/>
      <c r="P624" s="15"/>
      <c r="Q624" s="15"/>
      <c r="R624" s="15"/>
      <c r="S624" s="15"/>
      <c r="T624" s="67"/>
      <c r="U624" s="67"/>
      <c r="V624" s="67"/>
      <c r="W624" s="67"/>
      <c r="X624" s="67"/>
      <c r="Y624" s="67"/>
    </row>
    <row r="625" spans="2:25" ht="14.25">
      <c r="B625" s="15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15"/>
      <c r="N625" s="15"/>
      <c r="O625" s="15"/>
      <c r="P625" s="15"/>
      <c r="Q625" s="15"/>
      <c r="R625" s="15"/>
      <c r="S625" s="15"/>
      <c r="T625" s="67"/>
      <c r="U625" s="67"/>
      <c r="V625" s="67"/>
      <c r="W625" s="67"/>
      <c r="X625" s="67"/>
      <c r="Y625" s="67"/>
    </row>
    <row r="626" spans="2:25" ht="14.25">
      <c r="B626" s="15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15"/>
      <c r="N626" s="15"/>
      <c r="O626" s="15"/>
      <c r="P626" s="15"/>
      <c r="Q626" s="15"/>
      <c r="R626" s="15"/>
      <c r="S626" s="15"/>
      <c r="T626" s="67"/>
      <c r="U626" s="67"/>
      <c r="V626" s="67"/>
      <c r="W626" s="67"/>
      <c r="X626" s="67"/>
      <c r="Y626" s="67"/>
    </row>
    <row r="627" spans="2:25" ht="14.25">
      <c r="B627" s="15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15"/>
      <c r="N627" s="15"/>
      <c r="O627" s="15"/>
      <c r="P627" s="15"/>
      <c r="Q627" s="15"/>
      <c r="R627" s="15"/>
      <c r="S627" s="15"/>
      <c r="T627" s="67"/>
      <c r="U627" s="67"/>
      <c r="V627" s="67"/>
      <c r="W627" s="67"/>
      <c r="X627" s="67"/>
      <c r="Y627" s="67"/>
    </row>
    <row r="628" spans="2:25" ht="14.25">
      <c r="B628" s="15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15"/>
      <c r="N628" s="15"/>
      <c r="O628" s="15"/>
      <c r="P628" s="15"/>
      <c r="Q628" s="15"/>
      <c r="R628" s="15"/>
      <c r="S628" s="15"/>
      <c r="T628" s="67"/>
      <c r="U628" s="67"/>
      <c r="V628" s="67"/>
      <c r="W628" s="67"/>
      <c r="X628" s="67"/>
      <c r="Y628" s="67"/>
    </row>
    <row r="629" spans="2:25" ht="14.25">
      <c r="B629" s="15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15"/>
      <c r="N629" s="15"/>
      <c r="O629" s="15"/>
      <c r="P629" s="15"/>
      <c r="Q629" s="15"/>
      <c r="R629" s="15"/>
      <c r="S629" s="15"/>
      <c r="T629" s="67"/>
      <c r="U629" s="67"/>
      <c r="V629" s="67"/>
      <c r="W629" s="67"/>
      <c r="X629" s="67"/>
      <c r="Y629" s="67"/>
    </row>
    <row r="630" spans="2:25" ht="14.25">
      <c r="B630" s="15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15"/>
      <c r="N630" s="15"/>
      <c r="O630" s="15"/>
      <c r="P630" s="15"/>
      <c r="Q630" s="15"/>
      <c r="R630" s="15"/>
      <c r="S630" s="15"/>
      <c r="T630" s="67"/>
      <c r="U630" s="67"/>
      <c r="V630" s="67"/>
      <c r="W630" s="67"/>
      <c r="X630" s="67"/>
      <c r="Y630" s="67"/>
    </row>
    <row r="631" spans="2:25" ht="14.25">
      <c r="B631" s="15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15"/>
      <c r="N631" s="15"/>
      <c r="O631" s="15"/>
      <c r="P631" s="15"/>
      <c r="Q631" s="15"/>
      <c r="R631" s="15"/>
      <c r="S631" s="15"/>
      <c r="T631" s="67"/>
      <c r="U631" s="67"/>
      <c r="V631" s="67"/>
      <c r="W631" s="67"/>
      <c r="X631" s="67"/>
      <c r="Y631" s="67"/>
    </row>
    <row r="632" spans="2:25" ht="14.25">
      <c r="B632" s="15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15"/>
      <c r="N632" s="15"/>
      <c r="O632" s="15"/>
      <c r="P632" s="15"/>
      <c r="Q632" s="15"/>
      <c r="R632" s="15"/>
      <c r="S632" s="15"/>
      <c r="T632" s="67"/>
      <c r="U632" s="67"/>
      <c r="V632" s="67"/>
      <c r="W632" s="67"/>
      <c r="X632" s="67"/>
      <c r="Y632" s="67"/>
    </row>
    <row r="633" spans="2:25" ht="14.25">
      <c r="B633" s="15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15"/>
      <c r="N633" s="15"/>
      <c r="O633" s="15"/>
      <c r="P633" s="15"/>
      <c r="Q633" s="15"/>
      <c r="R633" s="15"/>
      <c r="S633" s="15"/>
      <c r="T633" s="67"/>
      <c r="U633" s="67"/>
      <c r="V633" s="67"/>
      <c r="W633" s="67"/>
      <c r="X633" s="67"/>
      <c r="Y633" s="67"/>
    </row>
    <row r="634" spans="2:25" ht="14.25">
      <c r="B634" s="15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15"/>
      <c r="N634" s="15"/>
      <c r="O634" s="15"/>
      <c r="P634" s="15"/>
      <c r="Q634" s="15"/>
      <c r="R634" s="15"/>
      <c r="S634" s="15"/>
      <c r="T634" s="67"/>
      <c r="U634" s="67"/>
      <c r="V634" s="67"/>
      <c r="W634" s="67"/>
      <c r="X634" s="67"/>
      <c r="Y634" s="67"/>
    </row>
    <row r="635" spans="2:25" ht="14.25">
      <c r="B635" s="15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15"/>
      <c r="N635" s="15"/>
      <c r="O635" s="15"/>
      <c r="P635" s="15"/>
      <c r="Q635" s="15"/>
      <c r="R635" s="15"/>
      <c r="S635" s="15"/>
      <c r="T635" s="67"/>
      <c r="U635" s="67"/>
      <c r="V635" s="67"/>
      <c r="W635" s="67"/>
      <c r="X635" s="67"/>
      <c r="Y635" s="67"/>
    </row>
    <row r="636" spans="2:25" ht="14.25">
      <c r="B636" s="15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15"/>
      <c r="N636" s="15"/>
      <c r="O636" s="15"/>
      <c r="P636" s="15"/>
      <c r="Q636" s="15"/>
      <c r="R636" s="15"/>
      <c r="S636" s="15"/>
      <c r="T636" s="67"/>
      <c r="U636" s="67"/>
      <c r="V636" s="67"/>
      <c r="W636" s="67"/>
      <c r="X636" s="67"/>
      <c r="Y636" s="67"/>
    </row>
    <row r="637" spans="2:25" ht="14.25">
      <c r="B637" s="15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15"/>
      <c r="N637" s="15"/>
      <c r="O637" s="15"/>
      <c r="P637" s="15"/>
      <c r="Q637" s="15"/>
      <c r="R637" s="15"/>
      <c r="S637" s="15"/>
      <c r="T637" s="67"/>
      <c r="U637" s="67"/>
      <c r="V637" s="67"/>
      <c r="W637" s="67"/>
      <c r="X637" s="67"/>
      <c r="Y637" s="67"/>
    </row>
    <row r="638" spans="2:25" ht="14.25">
      <c r="B638" s="15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15"/>
      <c r="N638" s="15"/>
      <c r="O638" s="15"/>
      <c r="P638" s="15"/>
      <c r="Q638" s="15"/>
      <c r="R638" s="15"/>
      <c r="S638" s="15"/>
      <c r="T638" s="67"/>
      <c r="U638" s="67"/>
      <c r="V638" s="67"/>
      <c r="W638" s="67"/>
      <c r="X638" s="67"/>
      <c r="Y638" s="67"/>
    </row>
    <row r="639" spans="2:25" ht="14.25">
      <c r="B639" s="15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15"/>
      <c r="N639" s="15"/>
      <c r="O639" s="15"/>
      <c r="P639" s="15"/>
      <c r="Q639" s="15"/>
      <c r="R639" s="15"/>
      <c r="S639" s="15"/>
      <c r="T639" s="67"/>
      <c r="U639" s="67"/>
      <c r="V639" s="67"/>
      <c r="W639" s="67"/>
      <c r="X639" s="67"/>
      <c r="Y639" s="67"/>
    </row>
    <row r="640" spans="2:25" ht="14.25">
      <c r="B640" s="15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15"/>
      <c r="N640" s="15"/>
      <c r="O640" s="15"/>
      <c r="P640" s="15"/>
      <c r="Q640" s="15"/>
      <c r="R640" s="15"/>
      <c r="S640" s="15"/>
      <c r="T640" s="67"/>
      <c r="U640" s="67"/>
      <c r="V640" s="67"/>
      <c r="W640" s="67"/>
      <c r="X640" s="67"/>
      <c r="Y640" s="67"/>
    </row>
    <row r="641" spans="2:25" ht="14.25">
      <c r="B641" s="15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15"/>
      <c r="N641" s="15"/>
      <c r="O641" s="15"/>
      <c r="P641" s="15"/>
      <c r="Q641" s="15"/>
      <c r="R641" s="15"/>
      <c r="S641" s="15"/>
      <c r="T641" s="67"/>
      <c r="U641" s="67"/>
      <c r="V641" s="67"/>
      <c r="W641" s="67"/>
      <c r="X641" s="67"/>
      <c r="Y641" s="67"/>
    </row>
    <row r="642" spans="2:25" ht="14.25">
      <c r="B642" s="15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15"/>
      <c r="N642" s="15"/>
      <c r="O642" s="15"/>
      <c r="P642" s="15"/>
      <c r="Q642" s="15"/>
      <c r="R642" s="15"/>
      <c r="S642" s="15"/>
      <c r="T642" s="67"/>
      <c r="U642" s="67"/>
      <c r="V642" s="67"/>
      <c r="W642" s="67"/>
      <c r="X642" s="67"/>
      <c r="Y642" s="67"/>
    </row>
    <row r="643" spans="2:25" ht="14.25">
      <c r="B643" s="15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15"/>
      <c r="N643" s="15"/>
      <c r="O643" s="15"/>
      <c r="P643" s="15"/>
      <c r="Q643" s="15"/>
      <c r="R643" s="15"/>
      <c r="S643" s="15"/>
      <c r="T643" s="67"/>
      <c r="U643" s="67"/>
      <c r="V643" s="67"/>
      <c r="W643" s="67"/>
      <c r="X643" s="67"/>
      <c r="Y643" s="67"/>
    </row>
    <row r="644" spans="2:25" ht="14.25">
      <c r="B644" s="15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15"/>
      <c r="N644" s="15"/>
      <c r="O644" s="15"/>
      <c r="P644" s="15"/>
      <c r="Q644" s="15"/>
      <c r="R644" s="15"/>
      <c r="S644" s="15"/>
      <c r="T644" s="67"/>
      <c r="U644" s="67"/>
      <c r="V644" s="67"/>
      <c r="W644" s="67"/>
      <c r="X644" s="67"/>
      <c r="Y644" s="67"/>
    </row>
    <row r="645" spans="2:25" ht="14.25">
      <c r="B645" s="15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15"/>
      <c r="N645" s="15"/>
      <c r="O645" s="15"/>
      <c r="P645" s="15"/>
      <c r="Q645" s="15"/>
      <c r="R645" s="15"/>
      <c r="S645" s="15"/>
      <c r="T645" s="67"/>
      <c r="U645" s="67"/>
      <c r="V645" s="67"/>
      <c r="W645" s="67"/>
      <c r="X645" s="67"/>
      <c r="Y645" s="67"/>
    </row>
    <row r="646" spans="2:25" ht="14.25">
      <c r="B646" s="15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15"/>
      <c r="N646" s="15"/>
      <c r="O646" s="15"/>
      <c r="P646" s="15"/>
      <c r="Q646" s="15"/>
      <c r="R646" s="15"/>
      <c r="S646" s="15"/>
      <c r="T646" s="67"/>
      <c r="U646" s="67"/>
      <c r="V646" s="67"/>
      <c r="W646" s="67"/>
      <c r="X646" s="67"/>
      <c r="Y646" s="67"/>
    </row>
    <row r="647" spans="2:25" ht="14.25">
      <c r="B647" s="15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15"/>
      <c r="N647" s="15"/>
      <c r="O647" s="15"/>
      <c r="P647" s="15"/>
      <c r="Q647" s="15"/>
      <c r="R647" s="15"/>
      <c r="S647" s="15"/>
      <c r="T647" s="67"/>
      <c r="U647" s="67"/>
      <c r="V647" s="67"/>
      <c r="W647" s="67"/>
      <c r="X647" s="67"/>
      <c r="Y647" s="67"/>
    </row>
    <row r="648" spans="2:25" ht="14.25">
      <c r="B648" s="15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15"/>
      <c r="N648" s="15"/>
      <c r="O648" s="15"/>
      <c r="P648" s="15"/>
      <c r="Q648" s="15"/>
      <c r="R648" s="15"/>
      <c r="S648" s="15"/>
      <c r="T648" s="67"/>
      <c r="U648" s="67"/>
      <c r="V648" s="67"/>
      <c r="W648" s="67"/>
      <c r="X648" s="67"/>
      <c r="Y648" s="67"/>
    </row>
    <row r="649" spans="2:25" ht="14.25">
      <c r="B649" s="15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15"/>
      <c r="N649" s="15"/>
      <c r="O649" s="15"/>
      <c r="P649" s="15"/>
      <c r="Q649" s="15"/>
      <c r="R649" s="15"/>
      <c r="S649" s="15"/>
      <c r="T649" s="67"/>
      <c r="U649" s="67"/>
      <c r="V649" s="67"/>
      <c r="W649" s="67"/>
      <c r="X649" s="67"/>
      <c r="Y649" s="67"/>
    </row>
    <row r="650" spans="2:25" ht="14.25">
      <c r="B650" s="15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15"/>
      <c r="N650" s="15"/>
      <c r="O650" s="15"/>
      <c r="P650" s="15"/>
      <c r="Q650" s="15"/>
      <c r="R650" s="15"/>
      <c r="S650" s="15"/>
      <c r="T650" s="67"/>
      <c r="U650" s="67"/>
      <c r="V650" s="67"/>
      <c r="W650" s="67"/>
      <c r="X650" s="67"/>
      <c r="Y650" s="67"/>
    </row>
    <row r="651" spans="2:25" ht="14.25">
      <c r="B651" s="15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15"/>
      <c r="N651" s="15"/>
      <c r="O651" s="15"/>
      <c r="P651" s="15"/>
      <c r="Q651" s="15"/>
      <c r="R651" s="15"/>
      <c r="S651" s="15"/>
      <c r="T651" s="67"/>
      <c r="U651" s="67"/>
      <c r="V651" s="67"/>
      <c r="W651" s="67"/>
      <c r="X651" s="67"/>
      <c r="Y651" s="67"/>
    </row>
    <row r="652" spans="2:25" ht="14.25">
      <c r="B652" s="15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15"/>
      <c r="N652" s="15"/>
      <c r="O652" s="15"/>
      <c r="P652" s="15"/>
      <c r="Q652" s="15"/>
      <c r="R652" s="15"/>
      <c r="S652" s="15"/>
      <c r="T652" s="67"/>
      <c r="U652" s="67"/>
      <c r="V652" s="67"/>
      <c r="W652" s="67"/>
      <c r="X652" s="67"/>
      <c r="Y652" s="67"/>
    </row>
    <row r="653" spans="2:25" ht="14.25">
      <c r="B653" s="15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15"/>
      <c r="N653" s="15"/>
      <c r="O653" s="15"/>
      <c r="P653" s="15"/>
      <c r="Q653" s="15"/>
      <c r="R653" s="15"/>
      <c r="S653" s="15"/>
      <c r="T653" s="67"/>
      <c r="U653" s="67"/>
      <c r="V653" s="67"/>
      <c r="W653" s="67"/>
      <c r="X653" s="67"/>
      <c r="Y653" s="67"/>
    </row>
    <row r="654" spans="2:25" ht="14.25">
      <c r="B654" s="15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15"/>
      <c r="N654" s="15"/>
      <c r="O654" s="15"/>
      <c r="P654" s="15"/>
      <c r="Q654" s="15"/>
      <c r="R654" s="15"/>
      <c r="S654" s="15"/>
      <c r="T654" s="67"/>
      <c r="U654" s="67"/>
      <c r="V654" s="67"/>
      <c r="W654" s="67"/>
      <c r="X654" s="67"/>
      <c r="Y654" s="67"/>
    </row>
    <row r="655" spans="2:25" ht="14.25">
      <c r="B655" s="15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15"/>
      <c r="N655" s="15"/>
      <c r="O655" s="15"/>
      <c r="P655" s="15"/>
      <c r="Q655" s="15"/>
      <c r="R655" s="15"/>
      <c r="S655" s="15"/>
      <c r="T655" s="67"/>
      <c r="U655" s="67"/>
      <c r="V655" s="67"/>
      <c r="W655" s="67"/>
      <c r="X655" s="67"/>
      <c r="Y655" s="67"/>
    </row>
    <row r="656" spans="2:25" ht="14.25">
      <c r="B656" s="15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15"/>
      <c r="N656" s="15"/>
      <c r="O656" s="15"/>
      <c r="P656" s="15"/>
      <c r="Q656" s="15"/>
      <c r="R656" s="15"/>
      <c r="S656" s="15"/>
      <c r="T656" s="67"/>
      <c r="U656" s="67"/>
      <c r="V656" s="67"/>
      <c r="W656" s="67"/>
      <c r="X656" s="67"/>
      <c r="Y656" s="67"/>
    </row>
    <row r="657" spans="2:25" ht="14.25">
      <c r="B657" s="15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15"/>
      <c r="N657" s="15"/>
      <c r="O657" s="15"/>
      <c r="P657" s="15"/>
      <c r="Q657" s="15"/>
      <c r="R657" s="15"/>
      <c r="S657" s="15"/>
      <c r="T657" s="67"/>
      <c r="U657" s="67"/>
      <c r="V657" s="67"/>
      <c r="W657" s="67"/>
      <c r="X657" s="67"/>
      <c r="Y657" s="67"/>
    </row>
    <row r="658" spans="2:25" ht="14.25">
      <c r="B658" s="15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15"/>
      <c r="N658" s="15"/>
      <c r="O658" s="15"/>
      <c r="P658" s="15"/>
      <c r="Q658" s="15"/>
      <c r="R658" s="15"/>
      <c r="S658" s="15"/>
      <c r="T658" s="67"/>
      <c r="U658" s="67"/>
      <c r="V658" s="67"/>
      <c r="W658" s="67"/>
      <c r="X658" s="67"/>
      <c r="Y658" s="67"/>
    </row>
    <row r="659" spans="2:25" ht="14.25">
      <c r="B659" s="15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15"/>
      <c r="N659" s="15"/>
      <c r="O659" s="15"/>
      <c r="P659" s="15"/>
      <c r="Q659" s="15"/>
      <c r="R659" s="15"/>
      <c r="S659" s="15"/>
      <c r="T659" s="67"/>
      <c r="U659" s="67"/>
      <c r="V659" s="67"/>
      <c r="W659" s="67"/>
      <c r="X659" s="67"/>
      <c r="Y659" s="67"/>
    </row>
    <row r="660" spans="2:25" ht="14.25">
      <c r="B660" s="15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15"/>
      <c r="N660" s="15"/>
      <c r="O660" s="15"/>
      <c r="P660" s="15"/>
      <c r="Q660" s="15"/>
      <c r="R660" s="15"/>
      <c r="S660" s="15"/>
      <c r="T660" s="67"/>
      <c r="U660" s="67"/>
      <c r="V660" s="67"/>
      <c r="W660" s="67"/>
      <c r="X660" s="67"/>
      <c r="Y660" s="67"/>
    </row>
    <row r="661" spans="2:25" ht="14.25">
      <c r="B661" s="15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15"/>
      <c r="N661" s="15"/>
      <c r="O661" s="15"/>
      <c r="P661" s="15"/>
      <c r="Q661" s="15"/>
      <c r="R661" s="15"/>
      <c r="S661" s="15"/>
      <c r="T661" s="67"/>
      <c r="U661" s="67"/>
      <c r="V661" s="67"/>
      <c r="W661" s="67"/>
      <c r="X661" s="67"/>
      <c r="Y661" s="67"/>
    </row>
    <row r="662" spans="2:25" ht="14.25">
      <c r="B662" s="15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15"/>
      <c r="N662" s="15"/>
      <c r="O662" s="15"/>
      <c r="P662" s="15"/>
      <c r="Q662" s="15"/>
      <c r="R662" s="15"/>
      <c r="S662" s="15"/>
      <c r="T662" s="67"/>
      <c r="U662" s="67"/>
      <c r="V662" s="67"/>
      <c r="W662" s="67"/>
      <c r="X662" s="67"/>
      <c r="Y662" s="67"/>
    </row>
    <row r="663" spans="2:25" ht="14.25">
      <c r="B663" s="15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15"/>
      <c r="N663" s="15"/>
      <c r="O663" s="15"/>
      <c r="P663" s="15"/>
      <c r="Q663" s="15"/>
      <c r="R663" s="15"/>
      <c r="S663" s="15"/>
      <c r="T663" s="67"/>
      <c r="U663" s="67"/>
      <c r="V663" s="67"/>
      <c r="W663" s="67"/>
      <c r="X663" s="67"/>
      <c r="Y663" s="67"/>
    </row>
    <row r="664" spans="2:25" ht="14.25">
      <c r="B664" s="15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15"/>
      <c r="N664" s="15"/>
      <c r="O664" s="15"/>
      <c r="P664" s="15"/>
      <c r="Q664" s="15"/>
      <c r="R664" s="15"/>
      <c r="S664" s="15"/>
      <c r="T664" s="67"/>
      <c r="U664" s="67"/>
      <c r="V664" s="67"/>
      <c r="W664" s="67"/>
      <c r="X664" s="67"/>
      <c r="Y664" s="67"/>
    </row>
    <row r="665" spans="2:25" ht="14.25">
      <c r="B665" s="15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15"/>
      <c r="N665" s="15"/>
      <c r="O665" s="15"/>
      <c r="P665" s="15"/>
      <c r="Q665" s="15"/>
      <c r="R665" s="15"/>
      <c r="S665" s="15"/>
      <c r="T665" s="67"/>
      <c r="U665" s="67"/>
      <c r="V665" s="67"/>
      <c r="W665" s="67"/>
      <c r="X665" s="67"/>
      <c r="Y665" s="67"/>
    </row>
    <row r="666" spans="2:25" ht="14.25">
      <c r="B666" s="15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15"/>
      <c r="N666" s="15"/>
      <c r="O666" s="15"/>
      <c r="P666" s="15"/>
      <c r="Q666" s="15"/>
      <c r="R666" s="15"/>
      <c r="S666" s="15"/>
      <c r="T666" s="67"/>
      <c r="U666" s="67"/>
      <c r="V666" s="67"/>
      <c r="W666" s="67"/>
      <c r="X666" s="67"/>
      <c r="Y666" s="67"/>
    </row>
    <row r="667" spans="2:25" ht="14.25">
      <c r="B667" s="15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15"/>
      <c r="N667" s="15"/>
      <c r="O667" s="15"/>
      <c r="P667" s="15"/>
      <c r="Q667" s="15"/>
      <c r="R667" s="15"/>
      <c r="S667" s="15"/>
      <c r="T667" s="67"/>
      <c r="U667" s="67"/>
      <c r="V667" s="67"/>
      <c r="W667" s="67"/>
      <c r="X667" s="67"/>
      <c r="Y667" s="67"/>
    </row>
    <row r="668" spans="2:25" ht="14.25">
      <c r="B668" s="15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15"/>
      <c r="N668" s="15"/>
      <c r="O668" s="15"/>
      <c r="P668" s="15"/>
      <c r="Q668" s="15"/>
      <c r="R668" s="15"/>
      <c r="S668" s="15"/>
      <c r="T668" s="67"/>
      <c r="U668" s="67"/>
      <c r="V668" s="67"/>
      <c r="W668" s="67"/>
      <c r="X668" s="67"/>
      <c r="Y668" s="67"/>
    </row>
    <row r="669" spans="2:25" ht="14.25">
      <c r="B669" s="15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15"/>
      <c r="N669" s="15"/>
      <c r="O669" s="15"/>
      <c r="P669" s="15"/>
      <c r="Q669" s="15"/>
      <c r="R669" s="15"/>
      <c r="S669" s="15"/>
      <c r="T669" s="67"/>
      <c r="U669" s="67"/>
      <c r="V669" s="67"/>
      <c r="W669" s="67"/>
      <c r="X669" s="67"/>
      <c r="Y669" s="67"/>
    </row>
    <row r="670" spans="2:25" ht="14.25">
      <c r="B670" s="15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15"/>
      <c r="N670" s="15"/>
      <c r="O670" s="15"/>
      <c r="P670" s="15"/>
      <c r="Q670" s="15"/>
      <c r="R670" s="15"/>
      <c r="S670" s="15"/>
      <c r="T670" s="67"/>
      <c r="U670" s="67"/>
      <c r="V670" s="67"/>
      <c r="W670" s="67"/>
      <c r="X670" s="67"/>
      <c r="Y670" s="67"/>
    </row>
    <row r="671" spans="2:25" ht="14.25">
      <c r="B671" s="15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15"/>
      <c r="N671" s="15"/>
      <c r="O671" s="15"/>
      <c r="P671" s="15"/>
      <c r="Q671" s="15"/>
      <c r="R671" s="15"/>
      <c r="S671" s="15"/>
      <c r="T671" s="67"/>
      <c r="U671" s="67"/>
      <c r="V671" s="67"/>
      <c r="W671" s="67"/>
      <c r="X671" s="67"/>
      <c r="Y671" s="67"/>
    </row>
    <row r="672" spans="2:25" ht="14.25">
      <c r="B672" s="15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15"/>
      <c r="N672" s="15"/>
      <c r="O672" s="15"/>
      <c r="P672" s="15"/>
      <c r="Q672" s="15"/>
      <c r="R672" s="15"/>
      <c r="S672" s="15"/>
      <c r="T672" s="67"/>
      <c r="U672" s="67"/>
      <c r="V672" s="67"/>
      <c r="W672" s="67"/>
      <c r="X672" s="67"/>
      <c r="Y672" s="67"/>
    </row>
    <row r="673" spans="2:25" ht="14.25">
      <c r="B673" s="15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15"/>
      <c r="N673" s="15"/>
      <c r="O673" s="15"/>
      <c r="P673" s="15"/>
      <c r="Q673" s="15"/>
      <c r="R673" s="15"/>
      <c r="S673" s="15"/>
      <c r="T673" s="67"/>
      <c r="U673" s="67"/>
      <c r="V673" s="67"/>
      <c r="W673" s="67"/>
      <c r="X673" s="67"/>
      <c r="Y673" s="67"/>
    </row>
    <row r="674" spans="2:25" ht="14.25">
      <c r="B674" s="15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15"/>
      <c r="N674" s="15"/>
      <c r="O674" s="15"/>
      <c r="P674" s="15"/>
      <c r="Q674" s="15"/>
      <c r="R674" s="15"/>
      <c r="S674" s="15"/>
      <c r="T674" s="67"/>
      <c r="U674" s="67"/>
      <c r="V674" s="67"/>
      <c r="W674" s="67"/>
      <c r="X674" s="67"/>
      <c r="Y674" s="67"/>
    </row>
    <row r="675" spans="2:25" ht="14.25">
      <c r="B675" s="15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15"/>
      <c r="N675" s="15"/>
      <c r="O675" s="15"/>
      <c r="P675" s="15"/>
      <c r="Q675" s="15"/>
      <c r="R675" s="15"/>
      <c r="S675" s="15"/>
      <c r="T675" s="67"/>
      <c r="U675" s="67"/>
      <c r="V675" s="67"/>
      <c r="W675" s="67"/>
      <c r="X675" s="67"/>
      <c r="Y675" s="67"/>
    </row>
    <row r="676" spans="2:25" ht="14.25">
      <c r="B676" s="15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15"/>
      <c r="N676" s="15"/>
      <c r="O676" s="15"/>
      <c r="P676" s="15"/>
      <c r="Q676" s="15"/>
      <c r="R676" s="15"/>
      <c r="S676" s="15"/>
      <c r="T676" s="67"/>
      <c r="U676" s="67"/>
      <c r="V676" s="67"/>
      <c r="W676" s="67"/>
      <c r="X676" s="67"/>
      <c r="Y676" s="67"/>
    </row>
    <row r="677" spans="2:25" ht="14.25">
      <c r="B677" s="15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15"/>
      <c r="N677" s="15"/>
      <c r="O677" s="15"/>
      <c r="P677" s="15"/>
      <c r="Q677" s="15"/>
      <c r="R677" s="15"/>
      <c r="S677" s="15"/>
      <c r="T677" s="67"/>
      <c r="U677" s="67"/>
      <c r="V677" s="67"/>
      <c r="W677" s="67"/>
      <c r="X677" s="67"/>
      <c r="Y677" s="67"/>
    </row>
    <row r="678" spans="2:25" ht="14.25">
      <c r="B678" s="15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15"/>
      <c r="N678" s="15"/>
      <c r="O678" s="15"/>
      <c r="P678" s="15"/>
      <c r="Q678" s="15"/>
      <c r="R678" s="15"/>
      <c r="S678" s="15"/>
      <c r="T678" s="67"/>
      <c r="U678" s="67"/>
      <c r="V678" s="67"/>
      <c r="W678" s="67"/>
      <c r="X678" s="67"/>
      <c r="Y678" s="67"/>
    </row>
    <row r="679" spans="2:25" ht="14.25">
      <c r="B679" s="15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15"/>
      <c r="N679" s="15"/>
      <c r="O679" s="15"/>
      <c r="P679" s="15"/>
      <c r="Q679" s="15"/>
      <c r="R679" s="15"/>
      <c r="S679" s="15"/>
      <c r="T679" s="67"/>
      <c r="U679" s="67"/>
      <c r="V679" s="67"/>
      <c r="W679" s="67"/>
      <c r="X679" s="67"/>
      <c r="Y679" s="67"/>
    </row>
    <row r="680" spans="2:25" ht="14.25">
      <c r="B680" s="15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15"/>
      <c r="N680" s="15"/>
      <c r="O680" s="15"/>
      <c r="P680" s="15"/>
      <c r="Q680" s="15"/>
      <c r="R680" s="15"/>
      <c r="S680" s="15"/>
      <c r="T680" s="67"/>
      <c r="U680" s="67"/>
      <c r="V680" s="67"/>
      <c r="W680" s="67"/>
      <c r="X680" s="67"/>
      <c r="Y680" s="67"/>
    </row>
    <row r="681" spans="2:25" ht="14.25">
      <c r="B681" s="15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15"/>
      <c r="N681" s="15"/>
      <c r="O681" s="15"/>
      <c r="P681" s="15"/>
      <c r="Q681" s="15"/>
      <c r="R681" s="15"/>
      <c r="S681" s="15"/>
      <c r="T681" s="67"/>
      <c r="U681" s="67"/>
      <c r="V681" s="67"/>
      <c r="W681" s="67"/>
      <c r="X681" s="67"/>
      <c r="Y681" s="67"/>
    </row>
    <row r="682" spans="2:25" ht="14.25">
      <c r="B682" s="15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15"/>
      <c r="N682" s="15"/>
      <c r="O682" s="15"/>
      <c r="P682" s="15"/>
      <c r="Q682" s="15"/>
      <c r="R682" s="15"/>
      <c r="S682" s="15"/>
      <c r="T682" s="67"/>
      <c r="U682" s="67"/>
      <c r="V682" s="67"/>
      <c r="W682" s="67"/>
      <c r="X682" s="67"/>
      <c r="Y682" s="67"/>
    </row>
    <row r="683" spans="2:25" ht="14.25">
      <c r="B683" s="15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15"/>
      <c r="N683" s="15"/>
      <c r="O683" s="15"/>
      <c r="P683" s="15"/>
      <c r="Q683" s="15"/>
      <c r="R683" s="15"/>
      <c r="S683" s="15"/>
      <c r="T683" s="67"/>
      <c r="U683" s="67"/>
      <c r="V683" s="67"/>
      <c r="W683" s="67"/>
      <c r="X683" s="67"/>
      <c r="Y683" s="67"/>
    </row>
    <row r="684" spans="2:25" ht="14.25">
      <c r="B684" s="15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15"/>
      <c r="N684" s="15"/>
      <c r="O684" s="15"/>
      <c r="P684" s="15"/>
      <c r="Q684" s="15"/>
      <c r="R684" s="15"/>
      <c r="S684" s="15"/>
      <c r="T684" s="67"/>
      <c r="U684" s="67"/>
      <c r="V684" s="67"/>
      <c r="W684" s="67"/>
      <c r="X684" s="67"/>
      <c r="Y684" s="67"/>
    </row>
    <row r="685" spans="2:25" ht="14.25">
      <c r="B685" s="15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15"/>
      <c r="N685" s="15"/>
      <c r="O685" s="15"/>
      <c r="P685" s="15"/>
      <c r="Q685" s="15"/>
      <c r="R685" s="15"/>
      <c r="S685" s="15"/>
      <c r="T685" s="67"/>
      <c r="U685" s="67"/>
      <c r="V685" s="67"/>
      <c r="W685" s="67"/>
      <c r="X685" s="67"/>
      <c r="Y685" s="67"/>
    </row>
    <row r="686" spans="2:25" ht="14.25">
      <c r="B686" s="15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15"/>
      <c r="N686" s="15"/>
      <c r="O686" s="15"/>
      <c r="P686" s="15"/>
      <c r="Q686" s="15"/>
      <c r="R686" s="15"/>
      <c r="S686" s="15"/>
      <c r="T686" s="67"/>
      <c r="U686" s="67"/>
      <c r="V686" s="67"/>
      <c r="W686" s="67"/>
      <c r="X686" s="67"/>
      <c r="Y686" s="67"/>
    </row>
    <row r="687" spans="2:25" ht="14.25">
      <c r="B687" s="15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15"/>
      <c r="N687" s="15"/>
      <c r="O687" s="15"/>
      <c r="P687" s="15"/>
      <c r="Q687" s="15"/>
      <c r="R687" s="15"/>
      <c r="S687" s="15"/>
      <c r="T687" s="67"/>
      <c r="U687" s="67"/>
      <c r="V687" s="67"/>
      <c r="W687" s="67"/>
      <c r="X687" s="67"/>
      <c r="Y687" s="67"/>
    </row>
    <row r="688" spans="2:25" ht="14.25">
      <c r="B688" s="15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15"/>
      <c r="N688" s="15"/>
      <c r="O688" s="15"/>
      <c r="P688" s="15"/>
      <c r="Q688" s="15"/>
      <c r="R688" s="15"/>
      <c r="S688" s="15"/>
      <c r="T688" s="67"/>
      <c r="U688" s="67"/>
      <c r="V688" s="67"/>
      <c r="W688" s="67"/>
      <c r="X688" s="67"/>
      <c r="Y688" s="67"/>
    </row>
    <row r="689" spans="2:25" ht="14.25">
      <c r="B689" s="15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15"/>
      <c r="N689" s="15"/>
      <c r="O689" s="15"/>
      <c r="P689" s="15"/>
      <c r="Q689" s="15"/>
      <c r="R689" s="15"/>
      <c r="S689" s="15"/>
      <c r="T689" s="67"/>
      <c r="U689" s="67"/>
      <c r="V689" s="67"/>
      <c r="W689" s="67"/>
      <c r="X689" s="67"/>
      <c r="Y689" s="67"/>
    </row>
    <row r="690" spans="2:25" ht="14.25">
      <c r="B690" s="15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15"/>
      <c r="N690" s="15"/>
      <c r="O690" s="15"/>
      <c r="P690" s="15"/>
      <c r="Q690" s="15"/>
      <c r="R690" s="15"/>
      <c r="S690" s="15"/>
      <c r="T690" s="67"/>
      <c r="U690" s="67"/>
      <c r="V690" s="67"/>
      <c r="W690" s="67"/>
      <c r="X690" s="67"/>
      <c r="Y690" s="67"/>
    </row>
    <row r="691" spans="2:25" ht="14.25">
      <c r="B691" s="15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15"/>
      <c r="N691" s="15"/>
      <c r="O691" s="15"/>
      <c r="P691" s="15"/>
      <c r="Q691" s="15"/>
      <c r="R691" s="15"/>
      <c r="S691" s="15"/>
      <c r="T691" s="67"/>
      <c r="U691" s="67"/>
      <c r="V691" s="67"/>
      <c r="W691" s="67"/>
      <c r="X691" s="67"/>
      <c r="Y691" s="67"/>
    </row>
    <row r="692" spans="2:25" ht="14.25">
      <c r="B692" s="15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15"/>
      <c r="N692" s="15"/>
      <c r="O692" s="15"/>
      <c r="P692" s="15"/>
      <c r="Q692" s="15"/>
      <c r="R692" s="15"/>
      <c r="S692" s="15"/>
      <c r="T692" s="67"/>
      <c r="U692" s="67"/>
      <c r="V692" s="67"/>
      <c r="W692" s="67"/>
      <c r="X692" s="67"/>
      <c r="Y692" s="67"/>
    </row>
    <row r="693" spans="2:25" ht="14.25">
      <c r="B693" s="15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15"/>
      <c r="N693" s="15"/>
      <c r="O693" s="15"/>
      <c r="P693" s="15"/>
      <c r="Q693" s="15"/>
      <c r="R693" s="15"/>
      <c r="S693" s="15"/>
      <c r="T693" s="67"/>
      <c r="U693" s="67"/>
      <c r="V693" s="67"/>
      <c r="W693" s="67"/>
      <c r="X693" s="67"/>
      <c r="Y693" s="67"/>
    </row>
    <row r="694" spans="2:25" ht="14.25">
      <c r="B694" s="15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15"/>
      <c r="N694" s="15"/>
      <c r="O694" s="15"/>
      <c r="P694" s="15"/>
      <c r="Q694" s="15"/>
      <c r="R694" s="15"/>
      <c r="S694" s="15"/>
      <c r="T694" s="67"/>
      <c r="U694" s="67"/>
      <c r="V694" s="67"/>
      <c r="W694" s="67"/>
      <c r="X694" s="67"/>
      <c r="Y694" s="67"/>
    </row>
    <row r="695" spans="2:25" ht="14.25">
      <c r="B695" s="15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15"/>
      <c r="N695" s="15"/>
      <c r="O695" s="15"/>
      <c r="P695" s="15"/>
      <c r="Q695" s="15"/>
      <c r="R695" s="15"/>
      <c r="S695" s="15"/>
      <c r="T695" s="67"/>
      <c r="U695" s="67"/>
      <c r="V695" s="67"/>
      <c r="W695" s="67"/>
      <c r="X695" s="67"/>
      <c r="Y695" s="67"/>
    </row>
    <row r="696" spans="2:25" ht="14.25">
      <c r="B696" s="15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15"/>
      <c r="N696" s="15"/>
      <c r="O696" s="15"/>
      <c r="P696" s="15"/>
      <c r="Q696" s="15"/>
      <c r="R696" s="15"/>
      <c r="S696" s="15"/>
      <c r="T696" s="67"/>
      <c r="U696" s="67"/>
      <c r="V696" s="67"/>
      <c r="W696" s="67"/>
      <c r="X696" s="67"/>
      <c r="Y696" s="67"/>
    </row>
    <row r="697" spans="2:25" ht="14.25">
      <c r="B697" s="15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15"/>
      <c r="N697" s="15"/>
      <c r="O697" s="15"/>
      <c r="P697" s="15"/>
      <c r="Q697" s="15"/>
      <c r="R697" s="15"/>
      <c r="S697" s="15"/>
      <c r="T697" s="67"/>
      <c r="U697" s="67"/>
      <c r="V697" s="67"/>
      <c r="W697" s="67"/>
      <c r="X697" s="67"/>
      <c r="Y697" s="67"/>
    </row>
    <row r="698" spans="2:25" ht="14.25">
      <c r="B698" s="15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15"/>
      <c r="N698" s="15"/>
      <c r="O698" s="15"/>
      <c r="P698" s="15"/>
      <c r="Q698" s="15"/>
      <c r="R698" s="15"/>
      <c r="S698" s="15"/>
      <c r="T698" s="67"/>
      <c r="U698" s="67"/>
      <c r="V698" s="67"/>
      <c r="W698" s="67"/>
      <c r="X698" s="67"/>
      <c r="Y698" s="67"/>
    </row>
    <row r="699" spans="2:25" ht="14.25">
      <c r="B699" s="15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15"/>
      <c r="N699" s="15"/>
      <c r="O699" s="15"/>
      <c r="P699" s="15"/>
      <c r="Q699" s="15"/>
      <c r="R699" s="15"/>
      <c r="S699" s="15"/>
      <c r="T699" s="67"/>
      <c r="U699" s="67"/>
      <c r="V699" s="67"/>
      <c r="W699" s="67"/>
      <c r="X699" s="67"/>
      <c r="Y699" s="67"/>
    </row>
    <row r="700" spans="2:25" ht="14.25">
      <c r="B700" s="15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15"/>
      <c r="N700" s="15"/>
      <c r="O700" s="15"/>
      <c r="P700" s="15"/>
      <c r="Q700" s="15"/>
      <c r="R700" s="15"/>
      <c r="S700" s="15"/>
      <c r="T700" s="67"/>
      <c r="U700" s="67"/>
      <c r="V700" s="67"/>
      <c r="W700" s="67"/>
      <c r="X700" s="67"/>
      <c r="Y700" s="67"/>
    </row>
    <row r="701" spans="2:25" ht="14.25">
      <c r="B701" s="15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15"/>
      <c r="N701" s="15"/>
      <c r="O701" s="15"/>
      <c r="P701" s="15"/>
      <c r="Q701" s="15"/>
      <c r="R701" s="15"/>
      <c r="S701" s="15"/>
      <c r="T701" s="67"/>
      <c r="U701" s="67"/>
      <c r="V701" s="67"/>
      <c r="W701" s="67"/>
      <c r="X701" s="67"/>
      <c r="Y701" s="67"/>
    </row>
    <row r="702" spans="2:25" ht="14.25">
      <c r="B702" s="15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15"/>
      <c r="N702" s="15"/>
      <c r="O702" s="15"/>
      <c r="P702" s="15"/>
      <c r="Q702" s="15"/>
      <c r="R702" s="15"/>
      <c r="S702" s="15"/>
      <c r="T702" s="67"/>
      <c r="U702" s="67"/>
      <c r="V702" s="67"/>
      <c r="W702" s="67"/>
      <c r="X702" s="67"/>
      <c r="Y702" s="67"/>
    </row>
    <row r="703" spans="2:25" ht="14.25">
      <c r="B703" s="15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15"/>
      <c r="N703" s="15"/>
      <c r="O703" s="15"/>
      <c r="P703" s="15"/>
      <c r="Q703" s="15"/>
      <c r="R703" s="15"/>
      <c r="S703" s="15"/>
      <c r="T703" s="67"/>
      <c r="U703" s="67"/>
      <c r="V703" s="67"/>
      <c r="W703" s="67"/>
      <c r="X703" s="67"/>
      <c r="Y703" s="67"/>
    </row>
    <row r="704" spans="2:25" ht="14.25">
      <c r="B704" s="15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15"/>
      <c r="N704" s="15"/>
      <c r="O704" s="15"/>
      <c r="P704" s="15"/>
      <c r="Q704" s="15"/>
      <c r="R704" s="15"/>
      <c r="S704" s="15"/>
      <c r="T704" s="67"/>
      <c r="U704" s="67"/>
      <c r="V704" s="67"/>
      <c r="W704" s="67"/>
      <c r="X704" s="67"/>
      <c r="Y704" s="67"/>
    </row>
    <row r="705" spans="2:25" ht="14.25">
      <c r="B705" s="15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15"/>
      <c r="N705" s="15"/>
      <c r="O705" s="15"/>
      <c r="P705" s="15"/>
      <c r="Q705" s="15"/>
      <c r="R705" s="15"/>
      <c r="S705" s="15"/>
      <c r="T705" s="67"/>
      <c r="U705" s="67"/>
      <c r="V705" s="67"/>
      <c r="W705" s="67"/>
      <c r="X705" s="67"/>
      <c r="Y705" s="67"/>
    </row>
    <row r="706" spans="2:25" ht="14.25">
      <c r="B706" s="15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15"/>
      <c r="N706" s="15"/>
      <c r="O706" s="15"/>
      <c r="P706" s="15"/>
      <c r="Q706" s="15"/>
      <c r="R706" s="15"/>
      <c r="S706" s="15"/>
      <c r="T706" s="67"/>
      <c r="U706" s="67"/>
      <c r="V706" s="67"/>
      <c r="W706" s="67"/>
      <c r="X706" s="67"/>
      <c r="Y706" s="67"/>
    </row>
    <row r="707" spans="2:25" ht="14.25">
      <c r="B707" s="15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15"/>
      <c r="N707" s="15"/>
      <c r="O707" s="15"/>
      <c r="P707" s="15"/>
      <c r="Q707" s="15"/>
      <c r="R707" s="15"/>
      <c r="S707" s="15"/>
      <c r="T707" s="67"/>
      <c r="U707" s="67"/>
      <c r="V707" s="67"/>
      <c r="W707" s="67"/>
      <c r="X707" s="67"/>
      <c r="Y707" s="67"/>
    </row>
    <row r="708" spans="2:25" ht="14.25">
      <c r="B708" s="15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15"/>
      <c r="N708" s="15"/>
      <c r="O708" s="15"/>
      <c r="P708" s="15"/>
      <c r="Q708" s="15"/>
      <c r="R708" s="15"/>
      <c r="S708" s="15"/>
      <c r="T708" s="67"/>
      <c r="U708" s="67"/>
      <c r="V708" s="67"/>
      <c r="W708" s="67"/>
      <c r="X708" s="67"/>
      <c r="Y708" s="67"/>
    </row>
    <row r="709" spans="2:25" ht="14.25">
      <c r="B709" s="15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15"/>
      <c r="N709" s="15"/>
      <c r="O709" s="15"/>
      <c r="P709" s="15"/>
      <c r="Q709" s="15"/>
      <c r="R709" s="15"/>
      <c r="S709" s="15"/>
      <c r="T709" s="67"/>
      <c r="U709" s="67"/>
      <c r="V709" s="67"/>
      <c r="W709" s="67"/>
      <c r="X709" s="67"/>
      <c r="Y709" s="67"/>
    </row>
    <row r="710" spans="2:25" ht="14.25">
      <c r="B710" s="15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15"/>
      <c r="N710" s="15"/>
      <c r="O710" s="15"/>
      <c r="P710" s="15"/>
      <c r="Q710" s="15"/>
      <c r="R710" s="15"/>
      <c r="S710" s="15"/>
      <c r="T710" s="67"/>
      <c r="U710" s="67"/>
      <c r="V710" s="67"/>
      <c r="W710" s="67"/>
      <c r="X710" s="67"/>
      <c r="Y710" s="67"/>
    </row>
    <row r="711" spans="2:25" ht="14.25">
      <c r="B711" s="15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15"/>
      <c r="N711" s="15"/>
      <c r="O711" s="15"/>
      <c r="P711" s="15"/>
      <c r="Q711" s="15"/>
      <c r="R711" s="15"/>
      <c r="S711" s="15"/>
      <c r="T711" s="67"/>
      <c r="U711" s="67"/>
      <c r="V711" s="67"/>
      <c r="W711" s="67"/>
      <c r="X711" s="67"/>
      <c r="Y711" s="67"/>
    </row>
    <row r="712" spans="2:25" ht="14.25">
      <c r="B712" s="15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15"/>
      <c r="N712" s="15"/>
      <c r="O712" s="15"/>
      <c r="P712" s="15"/>
      <c r="Q712" s="15"/>
      <c r="R712" s="15"/>
      <c r="S712" s="15"/>
      <c r="T712" s="67"/>
      <c r="U712" s="67"/>
      <c r="V712" s="67"/>
      <c r="W712" s="67"/>
      <c r="X712" s="67"/>
      <c r="Y712" s="67"/>
    </row>
    <row r="713" spans="2:25" ht="14.25">
      <c r="B713" s="15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15"/>
      <c r="N713" s="15"/>
      <c r="O713" s="15"/>
      <c r="P713" s="15"/>
      <c r="Q713" s="15"/>
      <c r="R713" s="15"/>
      <c r="S713" s="15"/>
      <c r="T713" s="67"/>
      <c r="U713" s="67"/>
      <c r="V713" s="67"/>
      <c r="W713" s="67"/>
      <c r="X713" s="67"/>
      <c r="Y713" s="67"/>
    </row>
    <row r="714" spans="2:25" ht="14.25">
      <c r="B714" s="15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15"/>
      <c r="N714" s="15"/>
      <c r="O714" s="15"/>
      <c r="P714" s="15"/>
      <c r="Q714" s="15"/>
      <c r="R714" s="15"/>
      <c r="S714" s="15"/>
      <c r="T714" s="67"/>
      <c r="U714" s="67"/>
      <c r="V714" s="67"/>
      <c r="W714" s="67"/>
      <c r="X714" s="67"/>
      <c r="Y714" s="67"/>
    </row>
    <row r="715" spans="2:25" ht="14.25">
      <c r="B715" s="15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15"/>
      <c r="N715" s="15"/>
      <c r="O715" s="15"/>
      <c r="P715" s="15"/>
      <c r="Q715" s="15"/>
      <c r="R715" s="15"/>
      <c r="S715" s="15"/>
      <c r="T715" s="67"/>
      <c r="U715" s="67"/>
      <c r="V715" s="67"/>
      <c r="W715" s="67"/>
      <c r="X715" s="67"/>
      <c r="Y715" s="67"/>
    </row>
    <row r="716" spans="2:25" ht="14.25">
      <c r="B716" s="15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15"/>
      <c r="N716" s="15"/>
      <c r="O716" s="15"/>
      <c r="P716" s="15"/>
      <c r="Q716" s="15"/>
      <c r="R716" s="15"/>
      <c r="S716" s="15"/>
      <c r="T716" s="67"/>
      <c r="U716" s="67"/>
      <c r="V716" s="67"/>
      <c r="W716" s="67"/>
      <c r="X716" s="67"/>
      <c r="Y716" s="67"/>
    </row>
    <row r="717" spans="2:25" ht="14.25">
      <c r="B717" s="15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15"/>
      <c r="N717" s="15"/>
      <c r="O717" s="15"/>
      <c r="P717" s="15"/>
      <c r="Q717" s="15"/>
      <c r="R717" s="15"/>
      <c r="S717" s="15"/>
      <c r="T717" s="67"/>
      <c r="U717" s="67"/>
      <c r="V717" s="67"/>
      <c r="W717" s="67"/>
      <c r="X717" s="67"/>
      <c r="Y717" s="67"/>
    </row>
    <row r="718" spans="2:25" ht="14.25">
      <c r="B718" s="15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15"/>
      <c r="N718" s="15"/>
      <c r="O718" s="15"/>
      <c r="P718" s="15"/>
      <c r="Q718" s="15"/>
      <c r="R718" s="15"/>
      <c r="S718" s="15"/>
      <c r="T718" s="67"/>
      <c r="U718" s="67"/>
      <c r="V718" s="67"/>
      <c r="W718" s="67"/>
      <c r="X718" s="67"/>
      <c r="Y718" s="67"/>
    </row>
    <row r="719" spans="2:25" ht="14.25">
      <c r="B719" s="15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15"/>
      <c r="N719" s="15"/>
      <c r="O719" s="15"/>
      <c r="P719" s="15"/>
      <c r="Q719" s="15"/>
      <c r="R719" s="15"/>
      <c r="S719" s="15"/>
      <c r="T719" s="67"/>
      <c r="U719" s="67"/>
      <c r="V719" s="67"/>
      <c r="W719" s="67"/>
      <c r="X719" s="67"/>
      <c r="Y719" s="67"/>
    </row>
    <row r="720" spans="2:25" ht="14.25">
      <c r="B720" s="15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15"/>
      <c r="N720" s="15"/>
      <c r="O720" s="15"/>
      <c r="P720" s="15"/>
      <c r="Q720" s="15"/>
      <c r="R720" s="15"/>
      <c r="S720" s="15"/>
      <c r="T720" s="67"/>
      <c r="U720" s="67"/>
      <c r="V720" s="67"/>
      <c r="W720" s="67"/>
      <c r="X720" s="67"/>
      <c r="Y720" s="67"/>
    </row>
    <row r="721" spans="2:25" ht="14.25">
      <c r="B721" s="15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15"/>
      <c r="N721" s="15"/>
      <c r="O721" s="15"/>
      <c r="P721" s="15"/>
      <c r="Q721" s="15"/>
      <c r="R721" s="15"/>
      <c r="S721" s="15"/>
      <c r="T721" s="67"/>
      <c r="U721" s="67"/>
      <c r="V721" s="67"/>
      <c r="W721" s="67"/>
      <c r="X721" s="67"/>
      <c r="Y721" s="67"/>
    </row>
    <row r="722" spans="2:25" ht="14.25">
      <c r="B722" s="15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15"/>
      <c r="N722" s="15"/>
      <c r="O722" s="15"/>
      <c r="P722" s="15"/>
      <c r="Q722" s="15"/>
      <c r="R722" s="15"/>
      <c r="S722" s="15"/>
      <c r="T722" s="67"/>
      <c r="U722" s="67"/>
      <c r="V722" s="67"/>
      <c r="W722" s="67"/>
      <c r="X722" s="67"/>
      <c r="Y722" s="67"/>
    </row>
    <row r="723" spans="2:25" ht="14.25">
      <c r="B723" s="15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15"/>
      <c r="N723" s="15"/>
      <c r="O723" s="15"/>
      <c r="P723" s="15"/>
      <c r="Q723" s="15"/>
      <c r="R723" s="15"/>
      <c r="S723" s="15"/>
      <c r="T723" s="67"/>
      <c r="U723" s="67"/>
      <c r="V723" s="67"/>
      <c r="W723" s="67"/>
      <c r="X723" s="67"/>
      <c r="Y723" s="67"/>
    </row>
    <row r="724" spans="2:25" ht="14.25">
      <c r="B724" s="15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15"/>
      <c r="N724" s="15"/>
      <c r="O724" s="15"/>
      <c r="P724" s="15"/>
      <c r="Q724" s="15"/>
      <c r="R724" s="15"/>
      <c r="S724" s="15"/>
      <c r="T724" s="67"/>
      <c r="U724" s="67"/>
      <c r="V724" s="67"/>
      <c r="W724" s="67"/>
      <c r="X724" s="67"/>
      <c r="Y724" s="67"/>
    </row>
    <row r="725" spans="2:25" ht="14.25">
      <c r="B725" s="15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15"/>
      <c r="N725" s="15"/>
      <c r="O725" s="15"/>
      <c r="P725" s="15"/>
      <c r="Q725" s="15"/>
      <c r="R725" s="15"/>
      <c r="S725" s="15"/>
      <c r="T725" s="67"/>
      <c r="U725" s="67"/>
      <c r="V725" s="67"/>
      <c r="W725" s="67"/>
      <c r="X725" s="67"/>
      <c r="Y725" s="67"/>
    </row>
    <row r="726" spans="2:25" ht="14.25">
      <c r="B726" s="15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15"/>
      <c r="N726" s="15"/>
      <c r="O726" s="15"/>
      <c r="P726" s="15"/>
      <c r="Q726" s="15"/>
      <c r="R726" s="15"/>
      <c r="S726" s="15"/>
      <c r="T726" s="67"/>
      <c r="U726" s="67"/>
      <c r="V726" s="67"/>
      <c r="W726" s="67"/>
      <c r="X726" s="67"/>
      <c r="Y726" s="67"/>
    </row>
    <row r="727" spans="2:25" ht="14.25">
      <c r="B727" s="15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15"/>
      <c r="N727" s="15"/>
      <c r="O727" s="15"/>
      <c r="P727" s="15"/>
      <c r="Q727" s="15"/>
      <c r="R727" s="15"/>
      <c r="S727" s="15"/>
      <c r="T727" s="67"/>
      <c r="U727" s="67"/>
      <c r="V727" s="67"/>
      <c r="W727" s="67"/>
      <c r="X727" s="67"/>
      <c r="Y727" s="67"/>
    </row>
    <row r="728" spans="2:25" ht="14.25">
      <c r="B728" s="15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15"/>
      <c r="N728" s="15"/>
      <c r="O728" s="15"/>
      <c r="P728" s="15"/>
      <c r="Q728" s="15"/>
      <c r="R728" s="15"/>
      <c r="S728" s="15"/>
      <c r="T728" s="67"/>
      <c r="U728" s="67"/>
      <c r="V728" s="67"/>
      <c r="W728" s="67"/>
      <c r="X728" s="67"/>
      <c r="Y728" s="67"/>
    </row>
    <row r="729" spans="2:25" ht="14.25">
      <c r="B729" s="15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15"/>
      <c r="N729" s="15"/>
      <c r="O729" s="15"/>
      <c r="P729" s="15"/>
      <c r="Q729" s="15"/>
      <c r="R729" s="15"/>
      <c r="S729" s="15"/>
      <c r="T729" s="67"/>
      <c r="U729" s="67"/>
      <c r="V729" s="67"/>
      <c r="W729" s="67"/>
      <c r="X729" s="67"/>
      <c r="Y729" s="67"/>
    </row>
    <row r="730" spans="2:25" ht="14.25">
      <c r="B730" s="15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15"/>
      <c r="N730" s="15"/>
      <c r="O730" s="15"/>
      <c r="P730" s="15"/>
      <c r="Q730" s="15"/>
      <c r="R730" s="15"/>
      <c r="S730" s="15"/>
      <c r="T730" s="67"/>
      <c r="U730" s="67"/>
      <c r="V730" s="67"/>
      <c r="W730" s="67"/>
      <c r="X730" s="67"/>
      <c r="Y730" s="67"/>
    </row>
    <row r="731" spans="2:25" ht="14.25">
      <c r="B731" s="15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15"/>
      <c r="N731" s="15"/>
      <c r="O731" s="15"/>
      <c r="P731" s="15"/>
      <c r="Q731" s="15"/>
      <c r="R731" s="15"/>
      <c r="S731" s="15"/>
      <c r="T731" s="67"/>
      <c r="U731" s="67"/>
      <c r="V731" s="67"/>
      <c r="W731" s="67"/>
      <c r="X731" s="67"/>
      <c r="Y731" s="67"/>
    </row>
    <row r="732" spans="2:25" ht="14.25">
      <c r="B732" s="15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15"/>
      <c r="N732" s="15"/>
      <c r="O732" s="15"/>
      <c r="P732" s="15"/>
      <c r="Q732" s="15"/>
      <c r="R732" s="15"/>
      <c r="S732" s="15"/>
      <c r="T732" s="67"/>
      <c r="U732" s="67"/>
      <c r="V732" s="67"/>
      <c r="W732" s="67"/>
      <c r="X732" s="67"/>
      <c r="Y732" s="67"/>
    </row>
    <row r="733" spans="2:25" ht="14.25">
      <c r="B733" s="15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15"/>
      <c r="N733" s="15"/>
      <c r="O733" s="15"/>
      <c r="P733" s="15"/>
      <c r="Q733" s="15"/>
      <c r="R733" s="15"/>
      <c r="S733" s="15"/>
      <c r="T733" s="67"/>
      <c r="U733" s="67"/>
      <c r="V733" s="67"/>
      <c r="W733" s="67"/>
      <c r="X733" s="67"/>
      <c r="Y733" s="67"/>
    </row>
    <row r="734" spans="2:25" ht="14.25">
      <c r="B734" s="15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15"/>
      <c r="N734" s="15"/>
      <c r="O734" s="15"/>
      <c r="P734" s="15"/>
      <c r="Q734" s="15"/>
      <c r="R734" s="15"/>
      <c r="S734" s="15"/>
      <c r="T734" s="67"/>
      <c r="U734" s="67"/>
      <c r="V734" s="67"/>
      <c r="W734" s="67"/>
      <c r="X734" s="67"/>
      <c r="Y734" s="67"/>
    </row>
    <row r="735" spans="2:25" ht="14.25">
      <c r="B735" s="15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15"/>
      <c r="N735" s="15"/>
      <c r="O735" s="15"/>
      <c r="P735" s="15"/>
      <c r="Q735" s="15"/>
      <c r="R735" s="15"/>
      <c r="S735" s="15"/>
      <c r="T735" s="67"/>
      <c r="U735" s="67"/>
      <c r="V735" s="67"/>
      <c r="W735" s="67"/>
      <c r="X735" s="67"/>
      <c r="Y735" s="67"/>
    </row>
    <row r="736" spans="2:25" ht="14.25">
      <c r="B736" s="15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15"/>
      <c r="N736" s="15"/>
      <c r="O736" s="15"/>
      <c r="P736" s="15"/>
      <c r="Q736" s="15"/>
      <c r="R736" s="15"/>
      <c r="S736" s="15"/>
      <c r="T736" s="67"/>
      <c r="U736" s="67"/>
      <c r="V736" s="67"/>
      <c r="W736" s="67"/>
      <c r="X736" s="67"/>
      <c r="Y736" s="67"/>
    </row>
    <row r="737" spans="2:25" ht="14.25">
      <c r="B737" s="15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15"/>
      <c r="N737" s="15"/>
      <c r="O737" s="15"/>
      <c r="P737" s="15"/>
      <c r="Q737" s="15"/>
      <c r="R737" s="15"/>
      <c r="S737" s="15"/>
      <c r="T737" s="67"/>
      <c r="U737" s="67"/>
      <c r="V737" s="67"/>
      <c r="W737" s="67"/>
      <c r="X737" s="67"/>
      <c r="Y737" s="67"/>
    </row>
    <row r="738" spans="2:25" ht="14.25">
      <c r="B738" s="15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15"/>
      <c r="N738" s="15"/>
      <c r="O738" s="15"/>
      <c r="P738" s="15"/>
      <c r="Q738" s="15"/>
      <c r="R738" s="15"/>
      <c r="S738" s="15"/>
      <c r="T738" s="67"/>
      <c r="U738" s="67"/>
      <c r="V738" s="67"/>
      <c r="W738" s="67"/>
      <c r="X738" s="67"/>
      <c r="Y738" s="67"/>
    </row>
    <row r="739" spans="2:25" ht="14.25">
      <c r="B739" s="15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15"/>
      <c r="N739" s="15"/>
      <c r="O739" s="15"/>
      <c r="P739" s="15"/>
      <c r="Q739" s="15"/>
      <c r="R739" s="15"/>
      <c r="S739" s="15"/>
      <c r="T739" s="67"/>
      <c r="U739" s="67"/>
      <c r="V739" s="67"/>
      <c r="W739" s="67"/>
      <c r="X739" s="67"/>
      <c r="Y739" s="67"/>
    </row>
    <row r="740" spans="2:25" ht="14.25">
      <c r="B740" s="15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15"/>
      <c r="N740" s="15"/>
      <c r="O740" s="15"/>
      <c r="P740" s="15"/>
      <c r="Q740" s="15"/>
      <c r="R740" s="15"/>
      <c r="S740" s="15"/>
      <c r="T740" s="67"/>
      <c r="U740" s="67"/>
      <c r="V740" s="67"/>
      <c r="W740" s="67"/>
      <c r="X740" s="67"/>
      <c r="Y740" s="67"/>
    </row>
    <row r="741" spans="2:25" ht="14.25">
      <c r="B741" s="15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15"/>
      <c r="N741" s="15"/>
      <c r="O741" s="15"/>
      <c r="P741" s="15"/>
      <c r="Q741" s="15"/>
      <c r="R741" s="15"/>
      <c r="S741" s="15"/>
      <c r="T741" s="67"/>
      <c r="U741" s="67"/>
      <c r="V741" s="67"/>
      <c r="W741" s="67"/>
      <c r="X741" s="67"/>
      <c r="Y741" s="67"/>
    </row>
    <row r="742" spans="2:25" ht="14.25">
      <c r="B742" s="15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15"/>
      <c r="N742" s="15"/>
      <c r="O742" s="15"/>
      <c r="P742" s="15"/>
      <c r="Q742" s="15"/>
      <c r="R742" s="15"/>
      <c r="S742" s="15"/>
      <c r="T742" s="67"/>
      <c r="U742" s="67"/>
      <c r="V742" s="67"/>
      <c r="W742" s="67"/>
      <c r="X742" s="67"/>
      <c r="Y742" s="67"/>
    </row>
    <row r="743" spans="2:25" ht="14.25">
      <c r="B743" s="15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15"/>
      <c r="N743" s="15"/>
      <c r="O743" s="15"/>
      <c r="P743" s="15"/>
      <c r="Q743" s="15"/>
      <c r="R743" s="15"/>
      <c r="S743" s="15"/>
      <c r="T743" s="67"/>
      <c r="U743" s="67"/>
      <c r="V743" s="67"/>
      <c r="W743" s="67"/>
      <c r="X743" s="67"/>
      <c r="Y743" s="67"/>
    </row>
    <row r="744" spans="2:25" ht="14.25">
      <c r="B744" s="15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15"/>
      <c r="N744" s="15"/>
      <c r="O744" s="15"/>
      <c r="P744" s="15"/>
      <c r="Q744" s="15"/>
      <c r="R744" s="15"/>
      <c r="S744" s="15"/>
      <c r="T744" s="67"/>
      <c r="U744" s="67"/>
      <c r="V744" s="67"/>
      <c r="W744" s="67"/>
      <c r="X744" s="67"/>
      <c r="Y744" s="67"/>
    </row>
    <row r="745" spans="2:25" ht="14.25">
      <c r="B745" s="15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15"/>
      <c r="N745" s="15"/>
      <c r="O745" s="15"/>
      <c r="P745" s="15"/>
      <c r="Q745" s="15"/>
      <c r="R745" s="15"/>
      <c r="S745" s="15"/>
      <c r="T745" s="67"/>
      <c r="U745" s="67"/>
      <c r="V745" s="67"/>
      <c r="W745" s="67"/>
      <c r="X745" s="67"/>
      <c r="Y745" s="67"/>
    </row>
    <row r="746" spans="2:25" ht="14.25">
      <c r="B746" s="15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15"/>
      <c r="N746" s="15"/>
      <c r="O746" s="15"/>
      <c r="P746" s="15"/>
      <c r="Q746" s="15"/>
      <c r="R746" s="15"/>
      <c r="S746" s="15"/>
      <c r="T746" s="67"/>
      <c r="U746" s="67"/>
      <c r="V746" s="67"/>
      <c r="W746" s="67"/>
      <c r="X746" s="67"/>
      <c r="Y746" s="67"/>
    </row>
    <row r="747" spans="2:25" ht="14.25">
      <c r="B747" s="15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15"/>
      <c r="N747" s="15"/>
      <c r="O747" s="15"/>
      <c r="P747" s="15"/>
      <c r="Q747" s="15"/>
      <c r="R747" s="15"/>
      <c r="S747" s="15"/>
      <c r="T747" s="67"/>
      <c r="U747" s="67"/>
      <c r="V747" s="67"/>
      <c r="W747" s="67"/>
      <c r="X747" s="67"/>
      <c r="Y747" s="67"/>
    </row>
    <row r="748" spans="2:25" ht="14.25">
      <c r="B748" s="15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15"/>
      <c r="N748" s="15"/>
      <c r="O748" s="15"/>
      <c r="P748" s="15"/>
      <c r="Q748" s="15"/>
      <c r="R748" s="15"/>
      <c r="S748" s="15"/>
      <c r="T748" s="67"/>
      <c r="U748" s="67"/>
      <c r="V748" s="67"/>
      <c r="W748" s="67"/>
      <c r="X748" s="67"/>
      <c r="Y748" s="67"/>
    </row>
    <row r="749" spans="2:25" ht="14.25">
      <c r="B749" s="15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15"/>
      <c r="N749" s="15"/>
      <c r="O749" s="15"/>
      <c r="P749" s="15"/>
      <c r="Q749" s="15"/>
      <c r="R749" s="15"/>
      <c r="S749" s="15"/>
      <c r="T749" s="67"/>
      <c r="U749" s="67"/>
      <c r="V749" s="67"/>
      <c r="W749" s="67"/>
      <c r="X749" s="67"/>
      <c r="Y749" s="67"/>
    </row>
    <row r="750" spans="2:25" ht="14.25">
      <c r="B750" s="15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15"/>
      <c r="N750" s="15"/>
      <c r="O750" s="15"/>
      <c r="P750" s="15"/>
      <c r="Q750" s="15"/>
      <c r="R750" s="15"/>
      <c r="S750" s="15"/>
      <c r="T750" s="67"/>
      <c r="U750" s="67"/>
      <c r="V750" s="67"/>
      <c r="W750" s="67"/>
      <c r="X750" s="67"/>
      <c r="Y750" s="67"/>
    </row>
    <row r="751" spans="2:25" ht="14.25">
      <c r="B751" s="15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15"/>
      <c r="N751" s="15"/>
      <c r="O751" s="15"/>
      <c r="P751" s="15"/>
      <c r="Q751" s="15"/>
      <c r="R751" s="15"/>
      <c r="S751" s="15"/>
      <c r="T751" s="67"/>
      <c r="U751" s="67"/>
      <c r="V751" s="67"/>
      <c r="W751" s="67"/>
      <c r="X751" s="67"/>
      <c r="Y751" s="67"/>
    </row>
    <row r="752" spans="2:25" ht="14.25">
      <c r="B752" s="15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15"/>
      <c r="N752" s="15"/>
      <c r="O752" s="15"/>
      <c r="P752" s="15"/>
      <c r="Q752" s="15"/>
      <c r="R752" s="15"/>
      <c r="S752" s="15"/>
      <c r="T752" s="67"/>
      <c r="U752" s="67"/>
      <c r="V752" s="67"/>
      <c r="W752" s="67"/>
      <c r="X752" s="67"/>
      <c r="Y752" s="67"/>
    </row>
    <row r="753" spans="2:25" ht="14.25">
      <c r="B753" s="15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15"/>
      <c r="N753" s="15"/>
      <c r="O753" s="15"/>
      <c r="P753" s="15"/>
      <c r="Q753" s="15"/>
      <c r="R753" s="15"/>
      <c r="S753" s="15"/>
      <c r="T753" s="67"/>
      <c r="U753" s="67"/>
      <c r="V753" s="67"/>
      <c r="W753" s="67"/>
      <c r="X753" s="67"/>
      <c r="Y753" s="67"/>
    </row>
    <row r="754" spans="2:25" ht="14.25">
      <c r="B754" s="15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15"/>
      <c r="N754" s="15"/>
      <c r="O754" s="15"/>
      <c r="P754" s="15"/>
      <c r="Q754" s="15"/>
      <c r="R754" s="15"/>
      <c r="S754" s="15"/>
      <c r="T754" s="67"/>
      <c r="U754" s="67"/>
      <c r="V754" s="67"/>
      <c r="W754" s="67"/>
      <c r="X754" s="67"/>
      <c r="Y754" s="67"/>
    </row>
    <row r="755" spans="2:25" ht="14.25">
      <c r="B755" s="15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15"/>
      <c r="N755" s="15"/>
      <c r="O755" s="15"/>
      <c r="P755" s="15"/>
      <c r="Q755" s="15"/>
      <c r="R755" s="15"/>
      <c r="S755" s="15"/>
      <c r="T755" s="67"/>
      <c r="U755" s="67"/>
      <c r="V755" s="67"/>
      <c r="W755" s="67"/>
      <c r="X755" s="67"/>
      <c r="Y755" s="67"/>
    </row>
    <row r="756" spans="2:25" ht="14.25">
      <c r="B756" s="15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15"/>
      <c r="N756" s="15"/>
      <c r="O756" s="15"/>
      <c r="P756" s="15"/>
      <c r="Q756" s="15"/>
      <c r="R756" s="15"/>
      <c r="S756" s="15"/>
      <c r="T756" s="67"/>
      <c r="U756" s="67"/>
      <c r="V756" s="67"/>
      <c r="W756" s="67"/>
      <c r="X756" s="67"/>
      <c r="Y756" s="67"/>
    </row>
    <row r="757" spans="2:25" ht="14.25">
      <c r="B757" s="15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15"/>
      <c r="N757" s="15"/>
      <c r="O757" s="15"/>
      <c r="P757" s="15"/>
      <c r="Q757" s="15"/>
      <c r="R757" s="15"/>
      <c r="S757" s="15"/>
      <c r="T757" s="67"/>
      <c r="U757" s="67"/>
      <c r="V757" s="67"/>
      <c r="W757" s="67"/>
      <c r="X757" s="67"/>
      <c r="Y757" s="67"/>
    </row>
    <row r="758" spans="2:25" ht="14.25">
      <c r="B758" s="15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15"/>
      <c r="N758" s="15"/>
      <c r="O758" s="15"/>
      <c r="P758" s="15"/>
      <c r="Q758" s="15"/>
      <c r="R758" s="15"/>
      <c r="S758" s="15"/>
      <c r="T758" s="67"/>
      <c r="U758" s="67"/>
      <c r="V758" s="67"/>
      <c r="W758" s="67"/>
      <c r="X758" s="67"/>
      <c r="Y758" s="67"/>
    </row>
    <row r="759" spans="2:25" ht="14.25">
      <c r="B759" s="15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15"/>
      <c r="N759" s="15"/>
      <c r="O759" s="15"/>
      <c r="P759" s="15"/>
      <c r="Q759" s="15"/>
      <c r="R759" s="15"/>
      <c r="S759" s="15"/>
      <c r="T759" s="67"/>
      <c r="U759" s="67"/>
      <c r="V759" s="67"/>
      <c r="W759" s="67"/>
      <c r="X759" s="67"/>
      <c r="Y759" s="67"/>
    </row>
    <row r="760" spans="2:25" ht="14.25">
      <c r="B760" s="15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15"/>
      <c r="N760" s="15"/>
      <c r="O760" s="15"/>
      <c r="P760" s="15"/>
      <c r="Q760" s="15"/>
      <c r="R760" s="15"/>
      <c r="S760" s="15"/>
      <c r="T760" s="67"/>
      <c r="U760" s="67"/>
      <c r="V760" s="67"/>
      <c r="W760" s="67"/>
      <c r="X760" s="67"/>
      <c r="Y760" s="67"/>
    </row>
    <row r="761" spans="2:25" ht="14.25">
      <c r="B761" s="15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15"/>
      <c r="N761" s="15"/>
      <c r="O761" s="15"/>
      <c r="P761" s="15"/>
      <c r="Q761" s="15"/>
      <c r="R761" s="15"/>
      <c r="S761" s="15"/>
      <c r="T761" s="67"/>
      <c r="U761" s="67"/>
      <c r="V761" s="67"/>
      <c r="W761" s="67"/>
      <c r="X761" s="67"/>
      <c r="Y761" s="67"/>
    </row>
    <row r="762" spans="2:25" ht="14.25">
      <c r="B762" s="15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15"/>
      <c r="N762" s="15"/>
      <c r="O762" s="15"/>
      <c r="P762" s="15"/>
      <c r="Q762" s="15"/>
      <c r="R762" s="15"/>
      <c r="S762" s="15"/>
      <c r="T762" s="67"/>
      <c r="U762" s="67"/>
      <c r="V762" s="67"/>
      <c r="W762" s="67"/>
      <c r="X762" s="67"/>
      <c r="Y762" s="67"/>
    </row>
    <row r="763" spans="2:25" ht="14.25">
      <c r="B763" s="15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15"/>
      <c r="N763" s="15"/>
      <c r="O763" s="15"/>
      <c r="P763" s="15"/>
      <c r="Q763" s="15"/>
      <c r="R763" s="15"/>
      <c r="S763" s="15"/>
      <c r="T763" s="67"/>
      <c r="U763" s="67"/>
      <c r="V763" s="67"/>
      <c r="W763" s="67"/>
      <c r="X763" s="67"/>
      <c r="Y763" s="67"/>
    </row>
    <row r="764" spans="2:25" ht="14.25">
      <c r="B764" s="15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15"/>
      <c r="N764" s="15"/>
      <c r="O764" s="15"/>
      <c r="P764" s="15"/>
      <c r="Q764" s="15"/>
      <c r="R764" s="15"/>
      <c r="S764" s="15"/>
      <c r="T764" s="67"/>
      <c r="U764" s="67"/>
      <c r="V764" s="67"/>
      <c r="W764" s="67"/>
      <c r="X764" s="67"/>
      <c r="Y764" s="67"/>
    </row>
    <row r="765" spans="2:25" ht="14.25">
      <c r="B765" s="15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15"/>
      <c r="N765" s="15"/>
      <c r="O765" s="15"/>
      <c r="P765" s="15"/>
      <c r="Q765" s="15"/>
      <c r="R765" s="15"/>
      <c r="S765" s="15"/>
      <c r="T765" s="67"/>
      <c r="U765" s="67"/>
      <c r="V765" s="67"/>
      <c r="W765" s="67"/>
      <c r="X765" s="67"/>
      <c r="Y765" s="67"/>
    </row>
    <row r="766" spans="2:25" ht="14.25">
      <c r="B766" s="15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15"/>
      <c r="N766" s="15"/>
      <c r="O766" s="15"/>
      <c r="P766" s="15"/>
      <c r="Q766" s="15"/>
      <c r="R766" s="15"/>
      <c r="S766" s="15"/>
      <c r="T766" s="67"/>
      <c r="U766" s="67"/>
      <c r="V766" s="67"/>
      <c r="W766" s="67"/>
      <c r="X766" s="67"/>
      <c r="Y766" s="67"/>
    </row>
    <row r="767" spans="2:25" ht="14.25">
      <c r="B767" s="15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15"/>
      <c r="N767" s="15"/>
      <c r="O767" s="15"/>
      <c r="P767" s="15"/>
      <c r="Q767" s="15"/>
      <c r="R767" s="15"/>
      <c r="S767" s="15"/>
      <c r="T767" s="67"/>
      <c r="U767" s="67"/>
      <c r="V767" s="67"/>
      <c r="W767" s="67"/>
      <c r="X767" s="67"/>
      <c r="Y767" s="67"/>
    </row>
    <row r="768" spans="2:25" ht="14.25">
      <c r="B768" s="15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15"/>
      <c r="N768" s="15"/>
      <c r="O768" s="15"/>
      <c r="P768" s="15"/>
      <c r="Q768" s="15"/>
      <c r="R768" s="15"/>
      <c r="S768" s="15"/>
      <c r="T768" s="67"/>
      <c r="U768" s="67"/>
      <c r="V768" s="67"/>
      <c r="W768" s="67"/>
      <c r="X768" s="67"/>
      <c r="Y768" s="67"/>
    </row>
    <row r="769" spans="2:25" ht="14.25">
      <c r="B769" s="15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15"/>
      <c r="N769" s="15"/>
      <c r="O769" s="15"/>
      <c r="P769" s="15"/>
      <c r="Q769" s="15"/>
      <c r="R769" s="15"/>
      <c r="S769" s="15"/>
      <c r="T769" s="67"/>
      <c r="U769" s="67"/>
      <c r="V769" s="67"/>
      <c r="W769" s="67"/>
      <c r="X769" s="67"/>
      <c r="Y769" s="67"/>
    </row>
    <row r="770" spans="2:25" ht="14.25">
      <c r="B770" s="15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15"/>
      <c r="N770" s="15"/>
      <c r="O770" s="15"/>
      <c r="P770" s="15"/>
      <c r="Q770" s="15"/>
      <c r="R770" s="15"/>
      <c r="S770" s="15"/>
      <c r="T770" s="67"/>
      <c r="U770" s="67"/>
      <c r="V770" s="67"/>
      <c r="W770" s="67"/>
      <c r="X770" s="67"/>
      <c r="Y770" s="67"/>
    </row>
    <row r="771" spans="2:25" ht="14.25">
      <c r="B771" s="15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15"/>
      <c r="N771" s="15"/>
      <c r="O771" s="15"/>
      <c r="P771" s="15"/>
      <c r="Q771" s="15"/>
      <c r="R771" s="15"/>
      <c r="S771" s="15"/>
      <c r="T771" s="67"/>
      <c r="U771" s="67"/>
      <c r="V771" s="67"/>
      <c r="W771" s="67"/>
      <c r="X771" s="67"/>
      <c r="Y771" s="67"/>
    </row>
    <row r="772" spans="2:25" ht="14.25">
      <c r="B772" s="15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15"/>
      <c r="N772" s="15"/>
      <c r="O772" s="15"/>
      <c r="P772" s="15"/>
      <c r="Q772" s="15"/>
      <c r="R772" s="15"/>
      <c r="S772" s="15"/>
      <c r="T772" s="67"/>
      <c r="U772" s="67"/>
      <c r="V772" s="67"/>
      <c r="W772" s="67"/>
      <c r="X772" s="67"/>
      <c r="Y772" s="67"/>
    </row>
    <row r="773" spans="2:25" ht="14.25">
      <c r="B773" s="15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15"/>
      <c r="N773" s="15"/>
      <c r="O773" s="15"/>
      <c r="P773" s="15"/>
      <c r="Q773" s="15"/>
      <c r="R773" s="15"/>
      <c r="S773" s="15"/>
      <c r="T773" s="67"/>
      <c r="U773" s="67"/>
      <c r="V773" s="67"/>
      <c r="W773" s="67"/>
      <c r="X773" s="67"/>
      <c r="Y773" s="67"/>
    </row>
    <row r="774" spans="2:25" ht="14.25">
      <c r="B774" s="15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15"/>
      <c r="N774" s="15"/>
      <c r="O774" s="15"/>
      <c r="P774" s="15"/>
      <c r="Q774" s="15"/>
      <c r="R774" s="15"/>
      <c r="S774" s="15"/>
      <c r="T774" s="67"/>
      <c r="U774" s="67"/>
      <c r="V774" s="67"/>
      <c r="W774" s="67"/>
      <c r="X774" s="67"/>
      <c r="Y774" s="67"/>
    </row>
    <row r="775" spans="2:25" ht="14.25">
      <c r="B775" s="15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15"/>
      <c r="N775" s="15"/>
      <c r="O775" s="15"/>
      <c r="P775" s="15"/>
      <c r="Q775" s="15"/>
      <c r="R775" s="15"/>
      <c r="S775" s="15"/>
      <c r="T775" s="67"/>
      <c r="U775" s="67"/>
      <c r="V775" s="67"/>
      <c r="W775" s="67"/>
      <c r="X775" s="67"/>
      <c r="Y775" s="67"/>
    </row>
    <row r="776" spans="2:25" ht="14.25">
      <c r="B776" s="15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15"/>
      <c r="N776" s="15"/>
      <c r="O776" s="15"/>
      <c r="P776" s="15"/>
      <c r="Q776" s="15"/>
      <c r="R776" s="15"/>
      <c r="S776" s="15"/>
      <c r="T776" s="67"/>
      <c r="U776" s="67"/>
      <c r="V776" s="67"/>
      <c r="W776" s="67"/>
      <c r="X776" s="67"/>
      <c r="Y776" s="67"/>
    </row>
    <row r="777" spans="2:25" ht="14.25">
      <c r="B777" s="15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15"/>
      <c r="N777" s="15"/>
      <c r="O777" s="15"/>
      <c r="P777" s="15"/>
      <c r="Q777" s="15"/>
      <c r="R777" s="15"/>
      <c r="S777" s="15"/>
      <c r="T777" s="67"/>
      <c r="U777" s="67"/>
      <c r="V777" s="67"/>
      <c r="W777" s="67"/>
      <c r="X777" s="67"/>
      <c r="Y777" s="67"/>
    </row>
    <row r="778" spans="2:25" ht="14.25">
      <c r="B778" s="15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15"/>
      <c r="N778" s="15"/>
      <c r="O778" s="15"/>
      <c r="P778" s="15"/>
      <c r="Q778" s="15"/>
      <c r="R778" s="15"/>
      <c r="S778" s="15"/>
      <c r="T778" s="67"/>
      <c r="U778" s="67"/>
      <c r="V778" s="67"/>
      <c r="W778" s="67"/>
      <c r="X778" s="67"/>
      <c r="Y778" s="67"/>
    </row>
    <row r="779" spans="2:25" ht="14.25">
      <c r="B779" s="15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15"/>
      <c r="N779" s="15"/>
      <c r="O779" s="15"/>
      <c r="P779" s="15"/>
      <c r="Q779" s="15"/>
      <c r="R779" s="15"/>
      <c r="S779" s="15"/>
      <c r="T779" s="67"/>
      <c r="U779" s="67"/>
      <c r="V779" s="67"/>
      <c r="W779" s="67"/>
      <c r="X779" s="67"/>
      <c r="Y779" s="67"/>
    </row>
    <row r="780" spans="2:25" ht="14.25">
      <c r="B780" s="15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15"/>
      <c r="N780" s="15"/>
      <c r="O780" s="15"/>
      <c r="P780" s="15"/>
      <c r="Q780" s="15"/>
      <c r="R780" s="15"/>
      <c r="S780" s="15"/>
      <c r="T780" s="67"/>
      <c r="U780" s="67"/>
      <c r="V780" s="67"/>
      <c r="W780" s="67"/>
      <c r="X780" s="67"/>
      <c r="Y780" s="67"/>
    </row>
    <row r="781" spans="2:25" ht="14.25">
      <c r="B781" s="15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15"/>
      <c r="N781" s="15"/>
      <c r="O781" s="15"/>
      <c r="P781" s="15"/>
      <c r="Q781" s="15"/>
      <c r="R781" s="15"/>
      <c r="S781" s="15"/>
      <c r="T781" s="67"/>
      <c r="U781" s="67"/>
      <c r="V781" s="67"/>
      <c r="W781" s="67"/>
      <c r="X781" s="67"/>
      <c r="Y781" s="67"/>
    </row>
    <row r="782" spans="2:25" ht="14.25">
      <c r="B782" s="15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15"/>
      <c r="N782" s="15"/>
      <c r="O782" s="15"/>
      <c r="P782" s="15"/>
      <c r="Q782" s="15"/>
      <c r="R782" s="15"/>
      <c r="S782" s="15"/>
      <c r="T782" s="67"/>
      <c r="U782" s="67"/>
      <c r="V782" s="67"/>
      <c r="W782" s="67"/>
      <c r="X782" s="67"/>
      <c r="Y782" s="67"/>
    </row>
    <row r="783" spans="2:25" ht="14.25">
      <c r="B783" s="15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15"/>
      <c r="N783" s="15"/>
      <c r="O783" s="15"/>
      <c r="P783" s="15"/>
      <c r="Q783" s="15"/>
      <c r="R783" s="15"/>
      <c r="S783" s="15"/>
      <c r="T783" s="67"/>
      <c r="U783" s="67"/>
      <c r="V783" s="67"/>
      <c r="W783" s="67"/>
      <c r="X783" s="67"/>
      <c r="Y783" s="67"/>
    </row>
    <row r="784" spans="2:25" ht="14.25">
      <c r="B784" s="15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15"/>
      <c r="N784" s="15"/>
      <c r="O784" s="15"/>
      <c r="P784" s="15"/>
      <c r="Q784" s="15"/>
      <c r="R784" s="15"/>
      <c r="S784" s="15"/>
      <c r="T784" s="67"/>
      <c r="U784" s="67"/>
      <c r="V784" s="67"/>
      <c r="W784" s="67"/>
      <c r="X784" s="67"/>
      <c r="Y784" s="67"/>
    </row>
    <row r="785" spans="2:25" ht="14.25">
      <c r="B785" s="15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15"/>
      <c r="N785" s="15"/>
      <c r="O785" s="15"/>
      <c r="P785" s="15"/>
      <c r="Q785" s="15"/>
      <c r="R785" s="15"/>
      <c r="S785" s="15"/>
      <c r="T785" s="67"/>
      <c r="U785" s="67"/>
      <c r="V785" s="67"/>
      <c r="W785" s="67"/>
      <c r="X785" s="67"/>
      <c r="Y785" s="67"/>
    </row>
    <row r="786" spans="2:25" ht="14.25">
      <c r="B786" s="15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15"/>
      <c r="N786" s="15"/>
      <c r="O786" s="15"/>
      <c r="P786" s="15"/>
      <c r="Q786" s="15"/>
      <c r="R786" s="15"/>
      <c r="S786" s="15"/>
      <c r="T786" s="67"/>
      <c r="U786" s="67"/>
      <c r="V786" s="67"/>
      <c r="W786" s="67"/>
      <c r="X786" s="67"/>
      <c r="Y786" s="67"/>
    </row>
    <row r="787" spans="2:25" ht="14.25">
      <c r="B787" s="15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15"/>
      <c r="N787" s="15"/>
      <c r="O787" s="15"/>
      <c r="P787" s="15"/>
      <c r="Q787" s="15"/>
      <c r="R787" s="15"/>
      <c r="S787" s="15"/>
      <c r="T787" s="67"/>
      <c r="U787" s="67"/>
      <c r="V787" s="67"/>
      <c r="W787" s="67"/>
      <c r="X787" s="67"/>
      <c r="Y787" s="67"/>
    </row>
    <row r="788" spans="2:25" ht="14.25">
      <c r="B788" s="15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15"/>
      <c r="N788" s="15"/>
      <c r="O788" s="15"/>
      <c r="P788" s="15"/>
      <c r="Q788" s="15"/>
      <c r="R788" s="15"/>
      <c r="S788" s="15"/>
      <c r="T788" s="67"/>
      <c r="U788" s="67"/>
      <c r="V788" s="67"/>
      <c r="W788" s="67"/>
      <c r="X788" s="67"/>
      <c r="Y788" s="67"/>
    </row>
    <row r="789" spans="2:25" ht="14.25">
      <c r="B789" s="15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15"/>
      <c r="N789" s="15"/>
      <c r="O789" s="15"/>
      <c r="P789" s="15"/>
      <c r="Q789" s="15"/>
      <c r="R789" s="15"/>
      <c r="S789" s="15"/>
      <c r="T789" s="67"/>
      <c r="U789" s="67"/>
      <c r="V789" s="67"/>
      <c r="W789" s="67"/>
      <c r="X789" s="67"/>
      <c r="Y789" s="67"/>
    </row>
    <row r="790" spans="2:25" ht="14.25">
      <c r="B790" s="15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15"/>
      <c r="N790" s="15"/>
      <c r="O790" s="15"/>
      <c r="P790" s="15"/>
      <c r="Q790" s="15"/>
      <c r="R790" s="15"/>
      <c r="S790" s="15"/>
      <c r="T790" s="67"/>
      <c r="U790" s="67"/>
      <c r="V790" s="67"/>
      <c r="W790" s="67"/>
      <c r="X790" s="67"/>
      <c r="Y790" s="67"/>
    </row>
    <row r="791" spans="2:25" ht="14.25">
      <c r="B791" s="15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15"/>
      <c r="N791" s="15"/>
      <c r="O791" s="15"/>
      <c r="P791" s="15"/>
      <c r="Q791" s="15"/>
      <c r="R791" s="15"/>
      <c r="S791" s="15"/>
      <c r="T791" s="67"/>
      <c r="U791" s="67"/>
      <c r="V791" s="67"/>
      <c r="W791" s="67"/>
      <c r="X791" s="67"/>
      <c r="Y791" s="67"/>
    </row>
    <row r="792" spans="2:25" ht="14.25">
      <c r="B792" s="15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15"/>
      <c r="N792" s="15"/>
      <c r="O792" s="15"/>
      <c r="P792" s="15"/>
      <c r="Q792" s="15"/>
      <c r="R792" s="15"/>
      <c r="S792" s="15"/>
      <c r="T792" s="67"/>
      <c r="U792" s="67"/>
      <c r="V792" s="67"/>
      <c r="W792" s="67"/>
      <c r="X792" s="67"/>
      <c r="Y792" s="67"/>
    </row>
    <row r="793" spans="2:25" ht="14.25">
      <c r="B793" s="15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15"/>
      <c r="N793" s="15"/>
      <c r="O793" s="15"/>
      <c r="P793" s="15"/>
      <c r="Q793" s="15"/>
      <c r="R793" s="15"/>
      <c r="S793" s="15"/>
      <c r="T793" s="67"/>
      <c r="U793" s="67"/>
      <c r="V793" s="67"/>
      <c r="W793" s="67"/>
      <c r="X793" s="67"/>
      <c r="Y793" s="67"/>
    </row>
    <row r="794" spans="2:25" ht="14.25">
      <c r="B794" s="15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15"/>
      <c r="N794" s="15"/>
      <c r="O794" s="15"/>
      <c r="P794" s="15"/>
      <c r="Q794" s="15"/>
      <c r="R794" s="15"/>
      <c r="S794" s="15"/>
      <c r="T794" s="67"/>
      <c r="U794" s="67"/>
      <c r="V794" s="67"/>
      <c r="W794" s="67"/>
      <c r="X794" s="67"/>
      <c r="Y794" s="67"/>
    </row>
    <row r="795" spans="2:25" ht="14.25">
      <c r="B795" s="15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15"/>
      <c r="N795" s="15"/>
      <c r="O795" s="15"/>
      <c r="P795" s="15"/>
      <c r="Q795" s="15"/>
      <c r="R795" s="15"/>
      <c r="S795" s="15"/>
      <c r="T795" s="67"/>
      <c r="U795" s="67"/>
      <c r="V795" s="67"/>
      <c r="W795" s="67"/>
      <c r="X795" s="67"/>
      <c r="Y795" s="67"/>
    </row>
    <row r="796" spans="2:25" ht="14.25">
      <c r="B796" s="15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15"/>
      <c r="N796" s="15"/>
      <c r="O796" s="15"/>
      <c r="P796" s="15"/>
      <c r="Q796" s="15"/>
      <c r="R796" s="15"/>
      <c r="S796" s="15"/>
      <c r="T796" s="67"/>
      <c r="U796" s="67"/>
      <c r="V796" s="67"/>
      <c r="W796" s="67"/>
      <c r="X796" s="67"/>
      <c r="Y796" s="67"/>
    </row>
    <row r="797" spans="2:25" ht="14.25">
      <c r="B797" s="15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15"/>
      <c r="N797" s="15"/>
      <c r="O797" s="15"/>
      <c r="P797" s="15"/>
      <c r="Q797" s="15"/>
      <c r="R797" s="15"/>
      <c r="S797" s="15"/>
      <c r="T797" s="67"/>
      <c r="U797" s="67"/>
      <c r="V797" s="67"/>
      <c r="W797" s="67"/>
      <c r="X797" s="67"/>
      <c r="Y797" s="67"/>
    </row>
    <row r="798" spans="2:25" ht="14.25">
      <c r="B798" s="15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15"/>
      <c r="N798" s="15"/>
      <c r="O798" s="15"/>
      <c r="P798" s="15"/>
      <c r="Q798" s="15"/>
      <c r="R798" s="15"/>
      <c r="S798" s="15"/>
      <c r="T798" s="67"/>
      <c r="U798" s="67"/>
      <c r="V798" s="67"/>
      <c r="W798" s="67"/>
      <c r="X798" s="67"/>
      <c r="Y798" s="67"/>
    </row>
    <row r="799" spans="2:25" ht="14.25">
      <c r="B799" s="15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15"/>
      <c r="N799" s="15"/>
      <c r="O799" s="15"/>
      <c r="P799" s="15"/>
      <c r="Q799" s="15"/>
      <c r="R799" s="15"/>
      <c r="S799" s="15"/>
      <c r="T799" s="67"/>
      <c r="U799" s="67"/>
      <c r="V799" s="67"/>
      <c r="W799" s="67"/>
      <c r="X799" s="67"/>
      <c r="Y799" s="67"/>
    </row>
    <row r="800" spans="2:25" ht="14.25">
      <c r="B800" s="15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15"/>
      <c r="N800" s="15"/>
      <c r="O800" s="15"/>
      <c r="P800" s="15"/>
      <c r="Q800" s="15"/>
      <c r="R800" s="15"/>
      <c r="S800" s="15"/>
      <c r="T800" s="67"/>
      <c r="U800" s="67"/>
      <c r="V800" s="67"/>
      <c r="W800" s="67"/>
      <c r="X800" s="67"/>
      <c r="Y800" s="67"/>
    </row>
    <row r="801" spans="2:25" ht="14.25">
      <c r="B801" s="15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15"/>
      <c r="N801" s="15"/>
      <c r="O801" s="15"/>
      <c r="P801" s="15"/>
      <c r="Q801" s="15"/>
      <c r="R801" s="15"/>
      <c r="S801" s="15"/>
      <c r="T801" s="67"/>
      <c r="U801" s="67"/>
      <c r="V801" s="67"/>
      <c r="W801" s="67"/>
      <c r="X801" s="67"/>
      <c r="Y801" s="67"/>
    </row>
    <row r="802" spans="2:25" ht="14.25">
      <c r="B802" s="15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15"/>
      <c r="N802" s="15"/>
      <c r="O802" s="15"/>
      <c r="P802" s="15"/>
      <c r="Q802" s="15"/>
      <c r="R802" s="15"/>
      <c r="S802" s="15"/>
      <c r="T802" s="67"/>
      <c r="U802" s="67"/>
      <c r="V802" s="67"/>
      <c r="W802" s="67"/>
      <c r="X802" s="67"/>
      <c r="Y802" s="67"/>
    </row>
    <row r="803" spans="2:25" ht="14.25">
      <c r="B803" s="15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15"/>
      <c r="N803" s="15"/>
      <c r="O803" s="15"/>
      <c r="P803" s="15"/>
      <c r="Q803" s="15"/>
      <c r="R803" s="15"/>
      <c r="S803" s="15"/>
      <c r="T803" s="67"/>
      <c r="U803" s="67"/>
      <c r="V803" s="67"/>
      <c r="W803" s="67"/>
      <c r="X803" s="67"/>
      <c r="Y803" s="67"/>
    </row>
    <row r="804" spans="2:25" ht="14.25">
      <c r="B804" s="15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15"/>
      <c r="N804" s="15"/>
      <c r="O804" s="15"/>
      <c r="P804" s="15"/>
      <c r="Q804" s="15"/>
      <c r="R804" s="15"/>
      <c r="S804" s="15"/>
      <c r="T804" s="67"/>
      <c r="U804" s="67"/>
      <c r="V804" s="67"/>
      <c r="W804" s="67"/>
      <c r="X804" s="67"/>
      <c r="Y804" s="67"/>
    </row>
    <row r="805" spans="2:25" ht="14.25">
      <c r="B805" s="15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15"/>
      <c r="N805" s="15"/>
      <c r="O805" s="15"/>
      <c r="P805" s="15"/>
      <c r="Q805" s="15"/>
      <c r="R805" s="15"/>
      <c r="S805" s="15"/>
      <c r="T805" s="67"/>
      <c r="U805" s="67"/>
      <c r="V805" s="67"/>
      <c r="W805" s="67"/>
      <c r="X805" s="67"/>
      <c r="Y805" s="67"/>
    </row>
    <row r="806" spans="2:25" ht="14.25">
      <c r="B806" s="15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15"/>
      <c r="N806" s="15"/>
      <c r="O806" s="15"/>
      <c r="P806" s="15"/>
      <c r="Q806" s="15"/>
      <c r="R806" s="15"/>
      <c r="S806" s="15"/>
      <c r="T806" s="67"/>
      <c r="U806" s="67"/>
      <c r="V806" s="67"/>
      <c r="W806" s="67"/>
      <c r="X806" s="67"/>
      <c r="Y806" s="67"/>
    </row>
    <row r="807" spans="2:25" ht="14.25">
      <c r="B807" s="15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15"/>
      <c r="N807" s="15"/>
      <c r="O807" s="15"/>
      <c r="P807" s="15"/>
      <c r="Q807" s="15"/>
      <c r="R807" s="15"/>
      <c r="S807" s="15"/>
      <c r="T807" s="67"/>
      <c r="U807" s="67"/>
      <c r="V807" s="67"/>
      <c r="W807" s="67"/>
      <c r="X807" s="67"/>
      <c r="Y807" s="67"/>
    </row>
    <row r="808" spans="2:25" ht="14.25">
      <c r="B808" s="15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15"/>
      <c r="N808" s="15"/>
      <c r="O808" s="15"/>
      <c r="P808" s="15"/>
      <c r="Q808" s="15"/>
      <c r="R808" s="15"/>
      <c r="S808" s="15"/>
      <c r="T808" s="67"/>
      <c r="U808" s="67"/>
      <c r="V808" s="67"/>
      <c r="W808" s="67"/>
      <c r="X808" s="67"/>
      <c r="Y808" s="67"/>
    </row>
    <row r="809" spans="2:25" ht="14.25">
      <c r="B809" s="15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15"/>
      <c r="N809" s="15"/>
      <c r="O809" s="15"/>
      <c r="P809" s="15"/>
      <c r="Q809" s="15"/>
      <c r="R809" s="15"/>
      <c r="S809" s="15"/>
      <c r="T809" s="67"/>
      <c r="U809" s="67"/>
      <c r="V809" s="67"/>
      <c r="W809" s="67"/>
      <c r="X809" s="67"/>
      <c r="Y809" s="67"/>
    </row>
    <row r="810" spans="2:25" ht="14.25">
      <c r="B810" s="15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15"/>
      <c r="N810" s="15"/>
      <c r="O810" s="15"/>
      <c r="P810" s="15"/>
      <c r="Q810" s="15"/>
      <c r="R810" s="15"/>
      <c r="S810" s="15"/>
      <c r="T810" s="67"/>
      <c r="U810" s="67"/>
      <c r="V810" s="67"/>
      <c r="W810" s="67"/>
      <c r="X810" s="67"/>
      <c r="Y810" s="67"/>
    </row>
    <row r="811" spans="2:25" ht="14.25">
      <c r="B811" s="15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15"/>
      <c r="N811" s="15"/>
      <c r="O811" s="15"/>
      <c r="P811" s="15"/>
      <c r="Q811" s="15"/>
      <c r="R811" s="15"/>
      <c r="S811" s="15"/>
      <c r="T811" s="67"/>
      <c r="U811" s="67"/>
      <c r="V811" s="67"/>
      <c r="W811" s="67"/>
      <c r="X811" s="67"/>
      <c r="Y811" s="67"/>
    </row>
    <row r="812" spans="2:25" ht="14.25">
      <c r="B812" s="15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15"/>
      <c r="N812" s="15"/>
      <c r="O812" s="15"/>
      <c r="P812" s="15"/>
      <c r="Q812" s="15"/>
      <c r="R812" s="15"/>
      <c r="S812" s="15"/>
      <c r="T812" s="67"/>
      <c r="U812" s="67"/>
      <c r="V812" s="67"/>
      <c r="W812" s="67"/>
      <c r="X812" s="67"/>
      <c r="Y812" s="67"/>
    </row>
    <row r="813" spans="2:25" ht="14.25">
      <c r="B813" s="15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15"/>
      <c r="N813" s="15"/>
      <c r="O813" s="15"/>
      <c r="P813" s="15"/>
      <c r="Q813" s="15"/>
      <c r="R813" s="15"/>
      <c r="S813" s="15"/>
      <c r="T813" s="67"/>
      <c r="U813" s="67"/>
      <c r="V813" s="67"/>
      <c r="W813" s="67"/>
      <c r="X813" s="67"/>
      <c r="Y813" s="67"/>
    </row>
    <row r="814" spans="2:25" ht="14.25">
      <c r="B814" s="15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15"/>
      <c r="N814" s="15"/>
      <c r="O814" s="15"/>
      <c r="P814" s="15"/>
      <c r="Q814" s="15"/>
      <c r="R814" s="15"/>
      <c r="S814" s="15"/>
      <c r="T814" s="67"/>
      <c r="U814" s="67"/>
      <c r="V814" s="67"/>
      <c r="W814" s="67"/>
      <c r="X814" s="67"/>
      <c r="Y814" s="67"/>
    </row>
    <row r="815" spans="2:25" ht="14.25">
      <c r="B815" s="15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15"/>
      <c r="N815" s="15"/>
      <c r="O815" s="15"/>
      <c r="P815" s="15"/>
      <c r="Q815" s="15"/>
      <c r="R815" s="15"/>
      <c r="S815" s="15"/>
      <c r="T815" s="67"/>
      <c r="U815" s="67"/>
      <c r="V815" s="67"/>
      <c r="W815" s="67"/>
      <c r="X815" s="67"/>
      <c r="Y815" s="67"/>
    </row>
    <row r="816" spans="2:25" ht="14.25">
      <c r="B816" s="15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15"/>
      <c r="N816" s="15"/>
      <c r="O816" s="15"/>
      <c r="P816" s="15"/>
      <c r="Q816" s="15"/>
      <c r="R816" s="15"/>
      <c r="S816" s="15"/>
      <c r="T816" s="67"/>
      <c r="U816" s="67"/>
      <c r="V816" s="67"/>
      <c r="W816" s="67"/>
      <c r="X816" s="67"/>
      <c r="Y816" s="67"/>
    </row>
    <row r="817" spans="2:25" ht="14.25">
      <c r="B817" s="15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15"/>
      <c r="N817" s="15"/>
      <c r="O817" s="15"/>
      <c r="P817" s="15"/>
      <c r="Q817" s="15"/>
      <c r="R817" s="15"/>
      <c r="S817" s="15"/>
      <c r="T817" s="67"/>
      <c r="U817" s="67"/>
      <c r="V817" s="67"/>
      <c r="W817" s="67"/>
      <c r="X817" s="67"/>
      <c r="Y817" s="67"/>
    </row>
    <row r="818" spans="2:25" ht="14.25">
      <c r="B818" s="15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15"/>
      <c r="N818" s="15"/>
      <c r="O818" s="15"/>
      <c r="P818" s="15"/>
      <c r="Q818" s="15"/>
      <c r="R818" s="15"/>
      <c r="S818" s="15"/>
      <c r="T818" s="67"/>
      <c r="U818" s="67"/>
      <c r="V818" s="67"/>
      <c r="W818" s="67"/>
      <c r="X818" s="67"/>
      <c r="Y818" s="67"/>
    </row>
    <row r="819" spans="2:25" ht="14.25">
      <c r="B819" s="15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15"/>
      <c r="N819" s="15"/>
      <c r="O819" s="15"/>
      <c r="P819" s="15"/>
      <c r="Q819" s="15"/>
      <c r="R819" s="15"/>
      <c r="S819" s="15"/>
      <c r="T819" s="67"/>
      <c r="U819" s="67"/>
      <c r="V819" s="67"/>
      <c r="W819" s="67"/>
      <c r="X819" s="67"/>
      <c r="Y819" s="67"/>
    </row>
    <row r="820" spans="2:25" ht="14.25">
      <c r="B820" s="15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15"/>
      <c r="N820" s="15"/>
      <c r="O820" s="15"/>
      <c r="P820" s="15"/>
      <c r="Q820" s="15"/>
      <c r="R820" s="15"/>
      <c r="S820" s="15"/>
      <c r="T820" s="67"/>
      <c r="U820" s="67"/>
      <c r="V820" s="67"/>
      <c r="W820" s="67"/>
      <c r="X820" s="67"/>
      <c r="Y820" s="67"/>
    </row>
    <row r="821" spans="2:25" ht="14.25">
      <c r="B821" s="15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15"/>
      <c r="N821" s="15"/>
      <c r="O821" s="15"/>
      <c r="P821" s="15"/>
      <c r="Q821" s="15"/>
      <c r="R821" s="15"/>
      <c r="S821" s="15"/>
      <c r="T821" s="67"/>
      <c r="U821" s="67"/>
      <c r="V821" s="67"/>
      <c r="W821" s="67"/>
      <c r="X821" s="67"/>
      <c r="Y821" s="67"/>
    </row>
    <row r="822" spans="2:25" ht="14.25">
      <c r="B822" s="15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15"/>
      <c r="N822" s="15"/>
      <c r="O822" s="15"/>
      <c r="P822" s="15"/>
      <c r="Q822" s="15"/>
      <c r="R822" s="15"/>
      <c r="S822" s="15"/>
      <c r="T822" s="67"/>
      <c r="U822" s="67"/>
      <c r="V822" s="67"/>
      <c r="W822" s="67"/>
      <c r="X822" s="67"/>
      <c r="Y822" s="67"/>
    </row>
    <row r="823" spans="2:25" ht="14.25">
      <c r="B823" s="15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15"/>
      <c r="N823" s="15"/>
      <c r="O823" s="15"/>
      <c r="P823" s="15"/>
      <c r="Q823" s="15"/>
      <c r="R823" s="15"/>
      <c r="S823" s="15"/>
      <c r="T823" s="67"/>
      <c r="U823" s="67"/>
      <c r="V823" s="67"/>
      <c r="W823" s="67"/>
      <c r="X823" s="67"/>
      <c r="Y823" s="67"/>
    </row>
    <row r="824" spans="2:25" ht="14.25">
      <c r="B824" s="15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15"/>
      <c r="N824" s="15"/>
      <c r="O824" s="15"/>
      <c r="P824" s="15"/>
      <c r="Q824" s="15"/>
      <c r="R824" s="15"/>
      <c r="S824" s="15"/>
      <c r="T824" s="67"/>
      <c r="U824" s="67"/>
      <c r="V824" s="67"/>
      <c r="W824" s="67"/>
      <c r="X824" s="67"/>
      <c r="Y824" s="67"/>
    </row>
    <row r="825" spans="2:25" ht="14.25">
      <c r="B825" s="15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15"/>
      <c r="N825" s="15"/>
      <c r="O825" s="15"/>
      <c r="P825" s="15"/>
      <c r="Q825" s="15"/>
      <c r="R825" s="15"/>
      <c r="S825" s="15"/>
      <c r="T825" s="67"/>
      <c r="U825" s="67"/>
      <c r="V825" s="67"/>
      <c r="W825" s="67"/>
      <c r="X825" s="67"/>
      <c r="Y825" s="67"/>
    </row>
    <row r="826" spans="2:25" ht="14.25">
      <c r="B826" s="15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15"/>
      <c r="N826" s="15"/>
      <c r="O826" s="15"/>
      <c r="P826" s="15"/>
      <c r="Q826" s="15"/>
      <c r="R826" s="15"/>
      <c r="S826" s="15"/>
      <c r="T826" s="67"/>
      <c r="U826" s="67"/>
      <c r="V826" s="67"/>
      <c r="W826" s="67"/>
      <c r="X826" s="67"/>
      <c r="Y826" s="67"/>
    </row>
    <row r="827" spans="2:25" ht="14.25">
      <c r="B827" s="15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15"/>
      <c r="N827" s="15"/>
      <c r="O827" s="15"/>
      <c r="P827" s="15"/>
      <c r="Q827" s="15"/>
      <c r="R827" s="15"/>
      <c r="S827" s="15"/>
      <c r="T827" s="67"/>
      <c r="U827" s="67"/>
      <c r="V827" s="67"/>
      <c r="W827" s="67"/>
      <c r="X827" s="67"/>
      <c r="Y827" s="67"/>
    </row>
    <row r="828" spans="2:25" ht="14.25">
      <c r="B828" s="15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15"/>
      <c r="N828" s="15"/>
      <c r="O828" s="15"/>
      <c r="P828" s="15"/>
      <c r="Q828" s="15"/>
      <c r="R828" s="15"/>
      <c r="S828" s="15"/>
      <c r="T828" s="67"/>
      <c r="U828" s="67"/>
      <c r="V828" s="67"/>
      <c r="W828" s="67"/>
      <c r="X828" s="67"/>
      <c r="Y828" s="67"/>
    </row>
    <row r="829" spans="2:25" ht="14.25">
      <c r="B829" s="15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15"/>
      <c r="N829" s="15"/>
      <c r="O829" s="15"/>
      <c r="P829" s="15"/>
      <c r="Q829" s="15"/>
      <c r="R829" s="15"/>
      <c r="S829" s="15"/>
      <c r="T829" s="67"/>
      <c r="U829" s="67"/>
      <c r="V829" s="67"/>
      <c r="W829" s="67"/>
      <c r="X829" s="67"/>
      <c r="Y829" s="67"/>
    </row>
    <row r="830" spans="2:25" ht="14.25">
      <c r="B830" s="15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15"/>
      <c r="N830" s="15"/>
      <c r="O830" s="15"/>
      <c r="P830" s="15"/>
      <c r="Q830" s="15"/>
      <c r="R830" s="15"/>
      <c r="S830" s="15"/>
      <c r="T830" s="67"/>
      <c r="U830" s="67"/>
      <c r="V830" s="67"/>
      <c r="W830" s="67"/>
      <c r="X830" s="67"/>
      <c r="Y830" s="67"/>
    </row>
    <row r="831" spans="2:25" ht="14.25">
      <c r="B831" s="15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15"/>
      <c r="N831" s="15"/>
      <c r="O831" s="15"/>
      <c r="P831" s="15"/>
      <c r="Q831" s="15"/>
      <c r="R831" s="15"/>
      <c r="S831" s="15"/>
      <c r="T831" s="67"/>
      <c r="U831" s="67"/>
      <c r="V831" s="67"/>
      <c r="W831" s="67"/>
      <c r="X831" s="67"/>
      <c r="Y831" s="67"/>
    </row>
    <row r="832" spans="2:25" ht="14.25">
      <c r="B832" s="15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15"/>
      <c r="N832" s="15"/>
      <c r="O832" s="15"/>
      <c r="P832" s="15"/>
      <c r="Q832" s="15"/>
      <c r="R832" s="15"/>
      <c r="S832" s="15"/>
      <c r="T832" s="67"/>
      <c r="U832" s="67"/>
      <c r="V832" s="67"/>
      <c r="W832" s="67"/>
      <c r="X832" s="67"/>
      <c r="Y832" s="67"/>
    </row>
    <row r="833" spans="2:25" ht="14.25">
      <c r="B833" s="15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15"/>
      <c r="N833" s="15"/>
      <c r="O833" s="15"/>
      <c r="P833" s="15"/>
      <c r="Q833" s="15"/>
      <c r="R833" s="15"/>
      <c r="S833" s="15"/>
      <c r="T833" s="67"/>
      <c r="U833" s="67"/>
      <c r="V833" s="67"/>
      <c r="W833" s="67"/>
      <c r="X833" s="67"/>
      <c r="Y833" s="67"/>
    </row>
    <row r="834" spans="2:25" ht="14.25">
      <c r="B834" s="15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15"/>
      <c r="N834" s="15"/>
      <c r="O834" s="15"/>
      <c r="P834" s="15"/>
      <c r="Q834" s="15"/>
      <c r="R834" s="15"/>
      <c r="S834" s="15"/>
      <c r="T834" s="67"/>
      <c r="U834" s="67"/>
      <c r="V834" s="67"/>
      <c r="W834" s="67"/>
      <c r="X834" s="67"/>
      <c r="Y834" s="67"/>
    </row>
    <row r="835" spans="2:25" ht="14.25">
      <c r="B835" s="15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15"/>
      <c r="N835" s="15"/>
      <c r="O835" s="15"/>
      <c r="P835" s="15"/>
      <c r="Q835" s="15"/>
      <c r="R835" s="15"/>
      <c r="S835" s="15"/>
      <c r="T835" s="67"/>
      <c r="U835" s="67"/>
      <c r="V835" s="67"/>
      <c r="W835" s="67"/>
      <c r="X835" s="67"/>
      <c r="Y835" s="67"/>
    </row>
    <row r="836" spans="2:25" ht="14.25">
      <c r="B836" s="15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15"/>
      <c r="N836" s="15"/>
      <c r="O836" s="15"/>
      <c r="P836" s="15"/>
      <c r="Q836" s="15"/>
      <c r="R836" s="15"/>
      <c r="S836" s="15"/>
      <c r="T836" s="67"/>
      <c r="U836" s="67"/>
      <c r="V836" s="67"/>
      <c r="W836" s="67"/>
      <c r="X836" s="67"/>
      <c r="Y836" s="67"/>
    </row>
    <row r="837" spans="2:25" ht="14.25">
      <c r="B837" s="15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15"/>
      <c r="N837" s="15"/>
      <c r="O837" s="15"/>
      <c r="P837" s="15"/>
      <c r="Q837" s="15"/>
      <c r="R837" s="15"/>
      <c r="S837" s="15"/>
      <c r="T837" s="67"/>
      <c r="U837" s="67"/>
      <c r="V837" s="67"/>
      <c r="W837" s="67"/>
      <c r="X837" s="67"/>
      <c r="Y837" s="67"/>
    </row>
    <row r="838" spans="2:25" ht="14.25">
      <c r="B838" s="15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15"/>
      <c r="N838" s="15"/>
      <c r="O838" s="15"/>
      <c r="P838" s="15"/>
      <c r="Q838" s="15"/>
      <c r="R838" s="15"/>
      <c r="S838" s="15"/>
      <c r="T838" s="67"/>
      <c r="U838" s="67"/>
      <c r="V838" s="67"/>
      <c r="W838" s="67"/>
      <c r="X838" s="67"/>
      <c r="Y838" s="67"/>
    </row>
    <row r="839" spans="2:25" ht="14.25">
      <c r="B839" s="15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15"/>
      <c r="N839" s="15"/>
      <c r="O839" s="15"/>
      <c r="P839" s="15"/>
      <c r="Q839" s="15"/>
      <c r="R839" s="15"/>
      <c r="S839" s="15"/>
      <c r="T839" s="67"/>
      <c r="U839" s="67"/>
      <c r="V839" s="67"/>
      <c r="W839" s="67"/>
      <c r="X839" s="67"/>
      <c r="Y839" s="67"/>
    </row>
    <row r="840" spans="2:25" ht="14.25">
      <c r="B840" s="15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15"/>
      <c r="N840" s="15"/>
      <c r="O840" s="15"/>
      <c r="P840" s="15"/>
      <c r="Q840" s="15"/>
      <c r="R840" s="15"/>
      <c r="S840" s="15"/>
      <c r="T840" s="67"/>
      <c r="U840" s="67"/>
      <c r="V840" s="67"/>
      <c r="W840" s="67"/>
      <c r="X840" s="67"/>
      <c r="Y840" s="67"/>
    </row>
    <row r="841" spans="2:25" ht="14.25">
      <c r="B841" s="15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15"/>
      <c r="N841" s="15"/>
      <c r="O841" s="15"/>
      <c r="P841" s="15"/>
      <c r="Q841" s="15"/>
      <c r="R841" s="15"/>
      <c r="S841" s="15"/>
      <c r="T841" s="67"/>
      <c r="U841" s="67"/>
      <c r="V841" s="67"/>
      <c r="W841" s="67"/>
      <c r="X841" s="67"/>
      <c r="Y841" s="67"/>
    </row>
    <row r="842" spans="2:25" ht="14.25">
      <c r="B842" s="15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15"/>
      <c r="N842" s="15"/>
      <c r="O842" s="15"/>
      <c r="P842" s="15"/>
      <c r="Q842" s="15"/>
      <c r="R842" s="15"/>
      <c r="S842" s="15"/>
      <c r="T842" s="67"/>
      <c r="U842" s="67"/>
      <c r="V842" s="67"/>
      <c r="W842" s="67"/>
      <c r="X842" s="67"/>
      <c r="Y842" s="67"/>
    </row>
    <row r="843" spans="2:25" ht="14.25">
      <c r="B843" s="15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15"/>
      <c r="N843" s="15"/>
      <c r="O843" s="15"/>
      <c r="P843" s="15"/>
      <c r="Q843" s="15"/>
      <c r="R843" s="15"/>
      <c r="S843" s="15"/>
      <c r="T843" s="67"/>
      <c r="U843" s="67"/>
      <c r="V843" s="67"/>
      <c r="W843" s="67"/>
      <c r="X843" s="67"/>
      <c r="Y843" s="67"/>
    </row>
    <row r="844" spans="2:25" ht="14.25">
      <c r="B844" s="15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15"/>
      <c r="N844" s="15"/>
      <c r="O844" s="15"/>
      <c r="P844" s="15"/>
      <c r="Q844" s="15"/>
      <c r="R844" s="15"/>
      <c r="S844" s="15"/>
      <c r="T844" s="67"/>
      <c r="U844" s="67"/>
      <c r="V844" s="67"/>
      <c r="W844" s="67"/>
      <c r="X844" s="67"/>
      <c r="Y844" s="67"/>
    </row>
    <row r="845" spans="2:25" ht="14.25">
      <c r="B845" s="15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15"/>
      <c r="N845" s="15"/>
      <c r="O845" s="15"/>
      <c r="P845" s="15"/>
      <c r="Q845" s="15"/>
      <c r="R845" s="15"/>
      <c r="S845" s="15"/>
      <c r="T845" s="67"/>
      <c r="U845" s="67"/>
      <c r="V845" s="67"/>
      <c r="W845" s="67"/>
      <c r="X845" s="67"/>
      <c r="Y845" s="67"/>
    </row>
    <row r="846" spans="2:25" ht="14.25">
      <c r="B846" s="15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15"/>
      <c r="N846" s="15"/>
      <c r="O846" s="15"/>
      <c r="P846" s="15"/>
      <c r="Q846" s="15"/>
      <c r="R846" s="15"/>
      <c r="S846" s="15"/>
      <c r="T846" s="67"/>
      <c r="U846" s="67"/>
      <c r="V846" s="67"/>
      <c r="W846" s="67"/>
      <c r="X846" s="67"/>
      <c r="Y846" s="67"/>
    </row>
    <row r="847" spans="2:25" ht="14.25">
      <c r="B847" s="15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15"/>
      <c r="N847" s="15"/>
      <c r="O847" s="15"/>
      <c r="P847" s="15"/>
      <c r="Q847" s="15"/>
      <c r="R847" s="15"/>
      <c r="S847" s="15"/>
      <c r="T847" s="67"/>
      <c r="U847" s="67"/>
      <c r="V847" s="67"/>
      <c r="W847" s="67"/>
      <c r="X847" s="67"/>
      <c r="Y847" s="67"/>
    </row>
    <row r="848" spans="2:25" ht="14.25">
      <c r="B848" s="15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15"/>
      <c r="N848" s="15"/>
      <c r="O848" s="15"/>
      <c r="P848" s="15"/>
      <c r="Q848" s="15"/>
      <c r="R848" s="15"/>
      <c r="S848" s="15"/>
      <c r="T848" s="67"/>
      <c r="U848" s="67"/>
      <c r="V848" s="67"/>
      <c r="W848" s="67"/>
      <c r="X848" s="67"/>
      <c r="Y848" s="67"/>
    </row>
    <row r="849" spans="2:25" ht="14.25">
      <c r="B849" s="15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15"/>
      <c r="N849" s="15"/>
      <c r="O849" s="15"/>
      <c r="P849" s="15"/>
      <c r="Q849" s="15"/>
      <c r="R849" s="15"/>
      <c r="S849" s="15"/>
      <c r="T849" s="67"/>
      <c r="U849" s="67"/>
      <c r="V849" s="67"/>
      <c r="W849" s="67"/>
      <c r="X849" s="67"/>
      <c r="Y849" s="67"/>
    </row>
    <row r="850" spans="2:25" ht="14.25">
      <c r="B850" s="15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15"/>
      <c r="N850" s="15"/>
      <c r="O850" s="15"/>
      <c r="P850" s="15"/>
      <c r="Q850" s="15"/>
      <c r="R850" s="15"/>
      <c r="S850" s="15"/>
      <c r="T850" s="67"/>
      <c r="U850" s="67"/>
      <c r="V850" s="67"/>
      <c r="W850" s="67"/>
      <c r="X850" s="67"/>
      <c r="Y850" s="67"/>
    </row>
    <row r="851" spans="2:25" ht="14.25">
      <c r="B851" s="15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15"/>
      <c r="N851" s="15"/>
      <c r="O851" s="15"/>
      <c r="P851" s="15"/>
      <c r="Q851" s="15"/>
      <c r="R851" s="15"/>
      <c r="S851" s="15"/>
      <c r="T851" s="67"/>
      <c r="U851" s="67"/>
      <c r="V851" s="67"/>
      <c r="W851" s="67"/>
      <c r="X851" s="67"/>
      <c r="Y851" s="67"/>
    </row>
    <row r="852" spans="2:25" ht="14.25">
      <c r="B852" s="15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15"/>
      <c r="N852" s="15"/>
      <c r="O852" s="15"/>
      <c r="P852" s="15"/>
      <c r="Q852" s="15"/>
      <c r="R852" s="15"/>
      <c r="S852" s="15"/>
      <c r="T852" s="67"/>
      <c r="U852" s="67"/>
      <c r="V852" s="67"/>
      <c r="W852" s="67"/>
      <c r="X852" s="67"/>
      <c r="Y852" s="67"/>
    </row>
    <row r="853" spans="2:25" ht="14.25">
      <c r="B853" s="15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15"/>
      <c r="N853" s="15"/>
      <c r="O853" s="15"/>
      <c r="P853" s="15"/>
      <c r="Q853" s="15"/>
      <c r="R853" s="15"/>
      <c r="S853" s="15"/>
      <c r="T853" s="67"/>
      <c r="U853" s="67"/>
      <c r="V853" s="67"/>
      <c r="W853" s="67"/>
      <c r="X853" s="67"/>
      <c r="Y853" s="67"/>
    </row>
    <row r="854" spans="2:25" ht="14.25">
      <c r="B854" s="15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15"/>
      <c r="N854" s="15"/>
      <c r="O854" s="15"/>
      <c r="P854" s="15"/>
      <c r="Q854" s="15"/>
      <c r="R854" s="15"/>
      <c r="S854" s="15"/>
      <c r="T854" s="67"/>
      <c r="U854" s="67"/>
      <c r="V854" s="67"/>
      <c r="W854" s="67"/>
      <c r="X854" s="67"/>
      <c r="Y854" s="67"/>
    </row>
    <row r="855" spans="2:25" ht="14.25">
      <c r="B855" s="15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15"/>
      <c r="N855" s="15"/>
      <c r="O855" s="15"/>
      <c r="P855" s="15"/>
      <c r="Q855" s="15"/>
      <c r="R855" s="15"/>
      <c r="S855" s="15"/>
      <c r="T855" s="67"/>
      <c r="U855" s="67"/>
      <c r="V855" s="67"/>
      <c r="W855" s="67"/>
      <c r="X855" s="67"/>
      <c r="Y855" s="67"/>
    </row>
    <row r="856" spans="2:25" ht="14.25">
      <c r="B856" s="15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15"/>
      <c r="N856" s="15"/>
      <c r="O856" s="15"/>
      <c r="P856" s="15"/>
      <c r="Q856" s="15"/>
      <c r="R856" s="15"/>
      <c r="S856" s="15"/>
      <c r="T856" s="67"/>
      <c r="U856" s="67"/>
      <c r="V856" s="67"/>
      <c r="W856" s="67"/>
      <c r="X856" s="67"/>
      <c r="Y856" s="67"/>
    </row>
    <row r="857" spans="2:25" ht="14.25">
      <c r="B857" s="15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15"/>
      <c r="N857" s="15"/>
      <c r="O857" s="15"/>
      <c r="P857" s="15"/>
      <c r="Q857" s="15"/>
      <c r="R857" s="15"/>
      <c r="S857" s="15"/>
      <c r="T857" s="67"/>
      <c r="U857" s="67"/>
      <c r="V857" s="67"/>
      <c r="W857" s="67"/>
      <c r="X857" s="67"/>
      <c r="Y857" s="67"/>
    </row>
    <row r="858" spans="2:25" ht="14.25">
      <c r="B858" s="15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15"/>
      <c r="N858" s="15"/>
      <c r="O858" s="15"/>
      <c r="P858" s="15"/>
      <c r="Q858" s="15"/>
      <c r="R858" s="15"/>
      <c r="S858" s="15"/>
      <c r="T858" s="67"/>
      <c r="U858" s="67"/>
      <c r="V858" s="67"/>
      <c r="W858" s="67"/>
      <c r="X858" s="67"/>
      <c r="Y858" s="67"/>
    </row>
    <row r="859" spans="2:25" ht="14.25">
      <c r="B859" s="15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15"/>
      <c r="N859" s="15"/>
      <c r="O859" s="15"/>
      <c r="P859" s="15"/>
      <c r="Q859" s="15"/>
      <c r="R859" s="15"/>
      <c r="S859" s="15"/>
      <c r="T859" s="67"/>
      <c r="U859" s="67"/>
      <c r="V859" s="67"/>
      <c r="W859" s="67"/>
      <c r="X859" s="67"/>
      <c r="Y859" s="67"/>
    </row>
    <row r="860" spans="2:25" ht="14.25">
      <c r="B860" s="15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15"/>
      <c r="N860" s="15"/>
      <c r="O860" s="15"/>
      <c r="P860" s="15"/>
      <c r="Q860" s="15"/>
      <c r="R860" s="15"/>
      <c r="S860" s="15"/>
      <c r="T860" s="67"/>
      <c r="U860" s="67"/>
      <c r="V860" s="67"/>
      <c r="W860" s="67"/>
      <c r="X860" s="67"/>
      <c r="Y860" s="67"/>
    </row>
    <row r="861" spans="2:25" ht="14.25">
      <c r="B861" s="15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15"/>
      <c r="N861" s="15"/>
      <c r="O861" s="15"/>
      <c r="P861" s="15"/>
      <c r="Q861" s="15"/>
      <c r="R861" s="15"/>
      <c r="S861" s="15"/>
      <c r="T861" s="67"/>
      <c r="U861" s="67"/>
      <c r="V861" s="67"/>
      <c r="W861" s="67"/>
      <c r="X861" s="67"/>
      <c r="Y861" s="67"/>
    </row>
    <row r="862" spans="2:25" ht="14.25">
      <c r="B862" s="15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15"/>
      <c r="N862" s="15"/>
      <c r="O862" s="15"/>
      <c r="P862" s="15"/>
      <c r="Q862" s="15"/>
      <c r="R862" s="15"/>
      <c r="S862" s="15"/>
      <c r="T862" s="67"/>
      <c r="U862" s="67"/>
      <c r="V862" s="67"/>
      <c r="W862" s="67"/>
      <c r="X862" s="67"/>
      <c r="Y862" s="67"/>
    </row>
    <row r="863" spans="2:25" ht="14.25">
      <c r="B863" s="15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15"/>
      <c r="N863" s="15"/>
      <c r="O863" s="15"/>
      <c r="P863" s="15"/>
      <c r="Q863" s="15"/>
      <c r="R863" s="15"/>
      <c r="S863" s="15"/>
      <c r="T863" s="67"/>
      <c r="U863" s="67"/>
      <c r="V863" s="67"/>
      <c r="W863" s="67"/>
      <c r="X863" s="67"/>
      <c r="Y863" s="67"/>
    </row>
    <row r="864" spans="2:25" ht="14.25">
      <c r="B864" s="15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15"/>
      <c r="N864" s="15"/>
      <c r="O864" s="15"/>
      <c r="P864" s="15"/>
      <c r="Q864" s="15"/>
      <c r="R864" s="15"/>
      <c r="S864" s="15"/>
      <c r="T864" s="67"/>
      <c r="U864" s="67"/>
      <c r="V864" s="67"/>
      <c r="W864" s="67"/>
      <c r="X864" s="67"/>
      <c r="Y864" s="67"/>
    </row>
    <row r="865" spans="2:25" ht="14.25">
      <c r="B865" s="15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15"/>
      <c r="N865" s="15"/>
      <c r="O865" s="15"/>
      <c r="P865" s="15"/>
      <c r="Q865" s="15"/>
      <c r="R865" s="15"/>
      <c r="S865" s="15"/>
      <c r="T865" s="67"/>
      <c r="U865" s="67"/>
      <c r="V865" s="67"/>
      <c r="W865" s="67"/>
      <c r="X865" s="67"/>
      <c r="Y865" s="67"/>
    </row>
    <row r="866" spans="2:25" ht="14.25">
      <c r="B866" s="15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15"/>
      <c r="N866" s="15"/>
      <c r="O866" s="15"/>
      <c r="P866" s="15"/>
      <c r="Q866" s="15"/>
      <c r="R866" s="15"/>
      <c r="S866" s="15"/>
      <c r="T866" s="67"/>
      <c r="U866" s="67"/>
      <c r="V866" s="67"/>
      <c r="W866" s="67"/>
      <c r="X866" s="67"/>
      <c r="Y866" s="67"/>
    </row>
    <row r="867" spans="2:25" ht="14.25">
      <c r="B867" s="15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15"/>
      <c r="N867" s="15"/>
      <c r="O867" s="15"/>
      <c r="P867" s="15"/>
      <c r="Q867" s="15"/>
      <c r="R867" s="15"/>
      <c r="S867" s="15"/>
      <c r="T867" s="67"/>
      <c r="U867" s="67"/>
      <c r="V867" s="67"/>
      <c r="W867" s="67"/>
      <c r="X867" s="67"/>
      <c r="Y867" s="67"/>
    </row>
    <row r="868" spans="2:25" ht="14.25">
      <c r="B868" s="15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15"/>
      <c r="N868" s="15"/>
      <c r="O868" s="15"/>
      <c r="P868" s="15"/>
      <c r="Q868" s="15"/>
      <c r="R868" s="15"/>
      <c r="S868" s="15"/>
      <c r="T868" s="67"/>
      <c r="U868" s="67"/>
      <c r="V868" s="67"/>
      <c r="W868" s="67"/>
      <c r="X868" s="67"/>
      <c r="Y868" s="67"/>
    </row>
    <row r="869" spans="2:25" ht="14.25">
      <c r="B869" s="15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15"/>
      <c r="N869" s="15"/>
      <c r="O869" s="15"/>
      <c r="P869" s="15"/>
      <c r="Q869" s="15"/>
      <c r="R869" s="15"/>
      <c r="S869" s="15"/>
      <c r="T869" s="67"/>
      <c r="U869" s="67"/>
      <c r="V869" s="67"/>
      <c r="W869" s="67"/>
      <c r="X869" s="67"/>
      <c r="Y869" s="67"/>
    </row>
    <row r="870" spans="2:25" ht="14.25">
      <c r="B870" s="15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15"/>
      <c r="N870" s="15"/>
      <c r="O870" s="15"/>
      <c r="P870" s="15"/>
      <c r="Q870" s="15"/>
      <c r="R870" s="15"/>
      <c r="S870" s="15"/>
      <c r="T870" s="67"/>
      <c r="U870" s="67"/>
      <c r="V870" s="67"/>
      <c r="W870" s="67"/>
      <c r="X870" s="67"/>
      <c r="Y870" s="67"/>
    </row>
    <row r="871" spans="2:25" ht="14.25">
      <c r="B871" s="15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15"/>
      <c r="N871" s="15"/>
      <c r="O871" s="15"/>
      <c r="P871" s="15"/>
      <c r="Q871" s="15"/>
      <c r="R871" s="15"/>
      <c r="S871" s="15"/>
      <c r="T871" s="67"/>
      <c r="U871" s="67"/>
      <c r="V871" s="67"/>
      <c r="W871" s="67"/>
      <c r="X871" s="67"/>
      <c r="Y871" s="67"/>
    </row>
    <row r="872" spans="2:25" ht="14.25">
      <c r="B872" s="15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15"/>
      <c r="N872" s="15"/>
      <c r="O872" s="15"/>
      <c r="P872" s="15"/>
      <c r="Q872" s="15"/>
      <c r="R872" s="15"/>
      <c r="S872" s="15"/>
      <c r="T872" s="67"/>
      <c r="U872" s="67"/>
      <c r="V872" s="67"/>
      <c r="W872" s="67"/>
      <c r="X872" s="67"/>
      <c r="Y872" s="67"/>
    </row>
    <row r="873" spans="2:25" ht="14.25">
      <c r="B873" s="15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15"/>
      <c r="N873" s="15"/>
      <c r="O873" s="15"/>
      <c r="P873" s="15"/>
      <c r="Q873" s="15"/>
      <c r="R873" s="15"/>
      <c r="S873" s="15"/>
      <c r="T873" s="67"/>
      <c r="U873" s="67"/>
      <c r="V873" s="67"/>
      <c r="W873" s="67"/>
      <c r="X873" s="67"/>
      <c r="Y873" s="67"/>
    </row>
    <row r="874" spans="2:25" ht="14.25">
      <c r="B874" s="15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15"/>
      <c r="N874" s="15"/>
      <c r="O874" s="15"/>
      <c r="P874" s="15"/>
      <c r="Q874" s="15"/>
      <c r="R874" s="15"/>
      <c r="S874" s="15"/>
      <c r="T874" s="67"/>
      <c r="U874" s="67"/>
      <c r="V874" s="67"/>
      <c r="W874" s="67"/>
      <c r="X874" s="67"/>
      <c r="Y874" s="67"/>
    </row>
    <row r="875" spans="2:25" ht="14.25">
      <c r="B875" s="15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15"/>
      <c r="N875" s="15"/>
      <c r="O875" s="15"/>
      <c r="P875" s="15"/>
      <c r="Q875" s="15"/>
      <c r="R875" s="15"/>
      <c r="S875" s="15"/>
      <c r="T875" s="67"/>
      <c r="U875" s="67"/>
      <c r="V875" s="67"/>
      <c r="W875" s="67"/>
      <c r="X875" s="67"/>
      <c r="Y875" s="67"/>
    </row>
    <row r="876" spans="2:25" ht="14.25">
      <c r="B876" s="15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15"/>
      <c r="N876" s="15"/>
      <c r="O876" s="15"/>
      <c r="P876" s="15"/>
      <c r="Q876" s="15"/>
      <c r="R876" s="15"/>
      <c r="S876" s="15"/>
      <c r="T876" s="67"/>
      <c r="U876" s="67"/>
      <c r="V876" s="67"/>
      <c r="W876" s="67"/>
      <c r="X876" s="67"/>
      <c r="Y876" s="67"/>
    </row>
    <row r="877" spans="2:25" ht="14.25">
      <c r="B877" s="15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15"/>
      <c r="N877" s="15"/>
      <c r="O877" s="15"/>
      <c r="P877" s="15"/>
      <c r="Q877" s="15"/>
      <c r="R877" s="15"/>
      <c r="S877" s="15"/>
      <c r="T877" s="67"/>
      <c r="U877" s="67"/>
      <c r="V877" s="67"/>
      <c r="W877" s="67"/>
      <c r="X877" s="67"/>
      <c r="Y877" s="67"/>
    </row>
    <row r="878" spans="2:25" ht="14.25">
      <c r="B878" s="15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15"/>
      <c r="N878" s="15"/>
      <c r="O878" s="15"/>
      <c r="P878" s="15"/>
      <c r="Q878" s="15"/>
      <c r="R878" s="15"/>
      <c r="S878" s="15"/>
      <c r="T878" s="67"/>
      <c r="U878" s="67"/>
      <c r="V878" s="67"/>
      <c r="W878" s="67"/>
      <c r="X878" s="67"/>
      <c r="Y878" s="67"/>
    </row>
    <row r="879" spans="2:25" ht="14.25">
      <c r="B879" s="15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15"/>
      <c r="N879" s="15"/>
      <c r="O879" s="15"/>
      <c r="P879" s="15"/>
      <c r="Q879" s="15"/>
      <c r="R879" s="15"/>
      <c r="S879" s="15"/>
      <c r="T879" s="67"/>
      <c r="U879" s="67"/>
      <c r="V879" s="67"/>
      <c r="W879" s="67"/>
      <c r="X879" s="67"/>
      <c r="Y879" s="67"/>
    </row>
    <row r="880" spans="2:25" ht="14.25">
      <c r="B880" s="15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15"/>
      <c r="N880" s="15"/>
      <c r="O880" s="15"/>
      <c r="P880" s="15"/>
      <c r="Q880" s="15"/>
      <c r="R880" s="15"/>
      <c r="S880" s="15"/>
      <c r="T880" s="67"/>
      <c r="U880" s="67"/>
      <c r="V880" s="67"/>
      <c r="W880" s="67"/>
      <c r="X880" s="67"/>
      <c r="Y880" s="67"/>
    </row>
    <row r="881" spans="2:25" ht="14.25">
      <c r="B881" s="15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15"/>
      <c r="N881" s="15"/>
      <c r="O881" s="15"/>
      <c r="P881" s="15"/>
      <c r="Q881" s="15"/>
      <c r="R881" s="15"/>
      <c r="S881" s="15"/>
      <c r="T881" s="67"/>
      <c r="U881" s="67"/>
      <c r="V881" s="67"/>
      <c r="W881" s="67"/>
      <c r="X881" s="67"/>
      <c r="Y881" s="67"/>
    </row>
    <row r="882" spans="2:25" ht="14.25">
      <c r="B882" s="15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15"/>
      <c r="N882" s="15"/>
      <c r="O882" s="15"/>
      <c r="P882" s="15"/>
      <c r="Q882" s="15"/>
      <c r="R882" s="15"/>
      <c r="S882" s="15"/>
      <c r="T882" s="67"/>
      <c r="U882" s="67"/>
      <c r="V882" s="67"/>
      <c r="W882" s="67"/>
      <c r="X882" s="67"/>
      <c r="Y882" s="67"/>
    </row>
    <row r="883" spans="2:25" ht="14.25">
      <c r="B883" s="15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15"/>
      <c r="N883" s="15"/>
      <c r="O883" s="15"/>
      <c r="P883" s="15"/>
      <c r="Q883" s="15"/>
      <c r="R883" s="15"/>
      <c r="S883" s="15"/>
      <c r="T883" s="67"/>
      <c r="U883" s="67"/>
      <c r="V883" s="67"/>
      <c r="W883" s="67"/>
      <c r="X883" s="67"/>
      <c r="Y883" s="67"/>
    </row>
    <row r="884" spans="2:25" ht="14.25">
      <c r="B884" s="15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15"/>
      <c r="N884" s="15"/>
      <c r="O884" s="15"/>
      <c r="P884" s="15"/>
      <c r="Q884" s="15"/>
      <c r="R884" s="15"/>
      <c r="S884" s="15"/>
      <c r="T884" s="67"/>
      <c r="U884" s="67"/>
      <c r="V884" s="67"/>
      <c r="W884" s="67"/>
      <c r="X884" s="67"/>
      <c r="Y884" s="67"/>
    </row>
    <row r="885" spans="2:25" ht="14.25">
      <c r="B885" s="15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15"/>
      <c r="N885" s="15"/>
      <c r="O885" s="15"/>
      <c r="P885" s="15"/>
      <c r="Q885" s="15"/>
      <c r="R885" s="15"/>
      <c r="S885" s="15"/>
      <c r="T885" s="67"/>
      <c r="U885" s="67"/>
      <c r="V885" s="67"/>
      <c r="W885" s="67"/>
      <c r="X885" s="67"/>
      <c r="Y885" s="67"/>
    </row>
    <row r="886" spans="2:25" ht="14.25">
      <c r="B886" s="15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15"/>
      <c r="N886" s="15"/>
      <c r="O886" s="15"/>
      <c r="P886" s="15"/>
      <c r="Q886" s="15"/>
      <c r="R886" s="15"/>
      <c r="S886" s="15"/>
      <c r="T886" s="67"/>
      <c r="U886" s="67"/>
      <c r="V886" s="67"/>
      <c r="W886" s="67"/>
      <c r="X886" s="67"/>
      <c r="Y886" s="67"/>
    </row>
    <row r="887" spans="2:25" ht="14.25">
      <c r="B887" s="15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15"/>
      <c r="N887" s="15"/>
      <c r="O887" s="15"/>
      <c r="P887" s="15"/>
      <c r="Q887" s="15"/>
      <c r="R887" s="15"/>
      <c r="S887" s="15"/>
      <c r="T887" s="67"/>
      <c r="U887" s="67"/>
      <c r="V887" s="67"/>
      <c r="W887" s="67"/>
      <c r="X887" s="67"/>
      <c r="Y887" s="67"/>
    </row>
    <row r="888" spans="2:25" ht="14.25">
      <c r="B888" s="15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15"/>
      <c r="N888" s="15"/>
      <c r="O888" s="15"/>
      <c r="P888" s="15"/>
      <c r="Q888" s="15"/>
      <c r="R888" s="15"/>
      <c r="S888" s="15"/>
      <c r="T888" s="67"/>
      <c r="U888" s="67"/>
      <c r="V888" s="67"/>
      <c r="W888" s="67"/>
      <c r="X888" s="67"/>
      <c r="Y888" s="67"/>
    </row>
    <row r="889" spans="2:25" ht="14.25">
      <c r="B889" s="15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15"/>
      <c r="N889" s="15"/>
      <c r="O889" s="15"/>
      <c r="P889" s="15"/>
      <c r="Q889" s="15"/>
      <c r="R889" s="15"/>
      <c r="S889" s="15"/>
      <c r="T889" s="67"/>
      <c r="U889" s="67"/>
      <c r="V889" s="67"/>
      <c r="W889" s="67"/>
      <c r="X889" s="67"/>
      <c r="Y889" s="67"/>
    </row>
    <row r="890" spans="2:25" ht="14.25">
      <c r="B890" s="15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15"/>
      <c r="N890" s="15"/>
      <c r="O890" s="15"/>
      <c r="P890" s="15"/>
      <c r="Q890" s="15"/>
      <c r="R890" s="15"/>
      <c r="S890" s="15"/>
      <c r="T890" s="67"/>
      <c r="U890" s="67"/>
      <c r="V890" s="67"/>
      <c r="W890" s="67"/>
      <c r="X890" s="67"/>
      <c r="Y890" s="67"/>
    </row>
    <row r="891" spans="2:25" ht="14.25">
      <c r="B891" s="15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15"/>
      <c r="N891" s="15"/>
      <c r="O891" s="15"/>
      <c r="P891" s="15"/>
      <c r="Q891" s="15"/>
      <c r="R891" s="15"/>
      <c r="S891" s="15"/>
      <c r="T891" s="67"/>
      <c r="U891" s="67"/>
      <c r="V891" s="67"/>
      <c r="W891" s="67"/>
      <c r="X891" s="67"/>
      <c r="Y891" s="67"/>
    </row>
    <row r="892" spans="2:25" ht="14.25">
      <c r="B892" s="15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15"/>
      <c r="N892" s="15"/>
      <c r="O892" s="15"/>
      <c r="P892" s="15"/>
      <c r="Q892" s="15"/>
      <c r="R892" s="15"/>
      <c r="S892" s="15"/>
      <c r="T892" s="67"/>
      <c r="U892" s="67"/>
      <c r="V892" s="67"/>
      <c r="W892" s="67"/>
      <c r="X892" s="67"/>
      <c r="Y892" s="67"/>
    </row>
    <row r="893" spans="2:25" ht="14.25">
      <c r="B893" s="15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15"/>
      <c r="N893" s="15"/>
      <c r="O893" s="15"/>
      <c r="P893" s="15"/>
      <c r="Q893" s="15"/>
      <c r="R893" s="15"/>
      <c r="S893" s="15"/>
      <c r="T893" s="67"/>
      <c r="U893" s="67"/>
      <c r="V893" s="67"/>
      <c r="W893" s="67"/>
      <c r="X893" s="67"/>
      <c r="Y893" s="67"/>
    </row>
    <row r="894" spans="2:25" ht="14.25">
      <c r="B894" s="15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15"/>
      <c r="N894" s="15"/>
      <c r="O894" s="15"/>
      <c r="P894" s="15"/>
      <c r="Q894" s="15"/>
      <c r="R894" s="15"/>
      <c r="S894" s="15"/>
      <c r="T894" s="67"/>
      <c r="U894" s="67"/>
      <c r="V894" s="67"/>
      <c r="W894" s="67"/>
      <c r="X894" s="67"/>
      <c r="Y894" s="67"/>
    </row>
    <row r="895" spans="2:25" ht="14.25">
      <c r="B895" s="15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15"/>
      <c r="N895" s="15"/>
      <c r="O895" s="15"/>
      <c r="P895" s="15"/>
      <c r="Q895" s="15"/>
      <c r="R895" s="15"/>
      <c r="S895" s="15"/>
      <c r="T895" s="67"/>
      <c r="U895" s="67"/>
      <c r="V895" s="67"/>
      <c r="W895" s="67"/>
      <c r="X895" s="67"/>
      <c r="Y895" s="67"/>
    </row>
    <row r="896" spans="2:25" ht="14.25">
      <c r="B896" s="15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15"/>
      <c r="N896" s="15"/>
      <c r="O896" s="15"/>
      <c r="P896" s="15"/>
      <c r="Q896" s="15"/>
      <c r="R896" s="15"/>
      <c r="S896" s="15"/>
      <c r="T896" s="67"/>
      <c r="U896" s="67"/>
      <c r="V896" s="67"/>
      <c r="W896" s="67"/>
      <c r="X896" s="67"/>
      <c r="Y896" s="67"/>
    </row>
    <row r="897" spans="2:25" ht="14.25">
      <c r="B897" s="15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15"/>
      <c r="N897" s="15"/>
      <c r="O897" s="15"/>
      <c r="P897" s="15"/>
      <c r="Q897" s="15"/>
      <c r="R897" s="15"/>
      <c r="S897" s="15"/>
      <c r="T897" s="67"/>
      <c r="U897" s="67"/>
      <c r="V897" s="67"/>
      <c r="W897" s="67"/>
      <c r="X897" s="67"/>
      <c r="Y897" s="67"/>
    </row>
    <row r="898" spans="2:25" ht="14.25">
      <c r="B898" s="15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15"/>
      <c r="N898" s="15"/>
      <c r="O898" s="15"/>
      <c r="P898" s="15"/>
      <c r="Q898" s="15"/>
      <c r="R898" s="15"/>
      <c r="S898" s="15"/>
      <c r="T898" s="67"/>
      <c r="U898" s="67"/>
      <c r="V898" s="67"/>
      <c r="W898" s="67"/>
      <c r="X898" s="67"/>
      <c r="Y898" s="67"/>
    </row>
    <row r="899" spans="2:25" ht="14.25">
      <c r="B899" s="15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15"/>
      <c r="N899" s="15"/>
      <c r="O899" s="15"/>
      <c r="P899" s="15"/>
      <c r="Q899" s="15"/>
      <c r="R899" s="15"/>
      <c r="S899" s="15"/>
      <c r="T899" s="67"/>
      <c r="U899" s="67"/>
      <c r="V899" s="67"/>
      <c r="W899" s="67"/>
      <c r="X899" s="67"/>
      <c r="Y899" s="67"/>
    </row>
    <row r="900" spans="2:25" ht="14.25">
      <c r="B900" s="15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15"/>
      <c r="N900" s="15"/>
      <c r="O900" s="15"/>
      <c r="P900" s="15"/>
      <c r="Q900" s="15"/>
      <c r="R900" s="15"/>
      <c r="S900" s="15"/>
      <c r="T900" s="67"/>
      <c r="U900" s="67"/>
      <c r="V900" s="67"/>
      <c r="W900" s="67"/>
      <c r="X900" s="67"/>
      <c r="Y900" s="67"/>
    </row>
    <row r="901" spans="2:25" ht="14.25">
      <c r="B901" s="15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15"/>
      <c r="N901" s="15"/>
      <c r="O901" s="15"/>
      <c r="P901" s="15"/>
      <c r="Q901" s="15"/>
      <c r="R901" s="15"/>
      <c r="S901" s="15"/>
      <c r="T901" s="67"/>
      <c r="U901" s="67"/>
      <c r="V901" s="67"/>
      <c r="W901" s="67"/>
      <c r="X901" s="67"/>
      <c r="Y901" s="67"/>
    </row>
    <row r="902" spans="2:25" ht="14.25">
      <c r="B902" s="15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15"/>
      <c r="N902" s="15"/>
      <c r="O902" s="15"/>
      <c r="P902" s="15"/>
      <c r="Q902" s="15"/>
      <c r="R902" s="15"/>
      <c r="S902" s="15"/>
      <c r="T902" s="67"/>
      <c r="U902" s="67"/>
      <c r="V902" s="67"/>
      <c r="W902" s="67"/>
      <c r="X902" s="67"/>
      <c r="Y902" s="67"/>
    </row>
    <row r="903" spans="2:25" ht="14.25">
      <c r="B903" s="15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15"/>
      <c r="N903" s="15"/>
      <c r="O903" s="15"/>
      <c r="P903" s="15"/>
      <c r="Q903" s="15"/>
      <c r="R903" s="15"/>
      <c r="S903" s="15"/>
      <c r="T903" s="67"/>
      <c r="U903" s="67"/>
      <c r="V903" s="67"/>
      <c r="W903" s="67"/>
      <c r="X903" s="67"/>
      <c r="Y903" s="67"/>
    </row>
    <row r="904" spans="2:25" ht="14.25">
      <c r="B904" s="15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15"/>
      <c r="N904" s="15"/>
      <c r="O904" s="15"/>
      <c r="P904" s="15"/>
      <c r="Q904" s="15"/>
      <c r="R904" s="15"/>
      <c r="S904" s="15"/>
      <c r="T904" s="67"/>
      <c r="U904" s="67"/>
      <c r="V904" s="67"/>
      <c r="W904" s="67"/>
      <c r="X904" s="67"/>
      <c r="Y904" s="67"/>
    </row>
    <row r="905" spans="2:25" ht="14.25">
      <c r="B905" s="15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15"/>
      <c r="N905" s="15"/>
      <c r="O905" s="15"/>
      <c r="P905" s="15"/>
      <c r="Q905" s="15"/>
      <c r="R905" s="15"/>
      <c r="S905" s="15"/>
      <c r="T905" s="67"/>
      <c r="U905" s="67"/>
      <c r="V905" s="67"/>
      <c r="W905" s="67"/>
      <c r="X905" s="67"/>
      <c r="Y905" s="67"/>
    </row>
    <row r="906" spans="2:25" ht="14.25">
      <c r="B906" s="15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15"/>
      <c r="N906" s="15"/>
      <c r="O906" s="15"/>
      <c r="P906" s="15"/>
      <c r="Q906" s="15"/>
      <c r="R906" s="15"/>
      <c r="S906" s="15"/>
      <c r="T906" s="67"/>
      <c r="U906" s="67"/>
      <c r="V906" s="67"/>
      <c r="W906" s="67"/>
      <c r="X906" s="67"/>
      <c r="Y906" s="67"/>
    </row>
    <row r="907" spans="2:25" ht="14.25">
      <c r="B907" s="15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15"/>
      <c r="N907" s="15"/>
      <c r="O907" s="15"/>
      <c r="P907" s="15"/>
      <c r="Q907" s="15"/>
      <c r="R907" s="15"/>
      <c r="S907" s="15"/>
      <c r="T907" s="67"/>
      <c r="U907" s="67"/>
      <c r="V907" s="67"/>
      <c r="W907" s="67"/>
      <c r="X907" s="67"/>
      <c r="Y907" s="67"/>
    </row>
    <row r="908" spans="2:25" ht="14.25">
      <c r="B908" s="15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15"/>
      <c r="N908" s="15"/>
      <c r="O908" s="15"/>
      <c r="P908" s="15"/>
      <c r="Q908" s="15"/>
      <c r="R908" s="15"/>
      <c r="S908" s="15"/>
      <c r="T908" s="67"/>
      <c r="U908" s="67"/>
      <c r="V908" s="67"/>
      <c r="W908" s="67"/>
      <c r="X908" s="67"/>
      <c r="Y908" s="67"/>
    </row>
    <row r="909" spans="2:25" ht="14.25">
      <c r="B909" s="15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15"/>
      <c r="N909" s="15"/>
      <c r="O909" s="15"/>
      <c r="P909" s="15"/>
      <c r="Q909" s="15"/>
      <c r="R909" s="15"/>
      <c r="S909" s="15"/>
      <c r="T909" s="67"/>
      <c r="U909" s="67"/>
      <c r="V909" s="67"/>
      <c r="W909" s="67"/>
      <c r="X909" s="67"/>
      <c r="Y909" s="67"/>
    </row>
    <row r="910" spans="2:25" ht="14.25">
      <c r="B910" s="15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15"/>
      <c r="N910" s="15"/>
      <c r="O910" s="15"/>
      <c r="P910" s="15"/>
      <c r="Q910" s="15"/>
      <c r="R910" s="15"/>
      <c r="S910" s="15"/>
      <c r="T910" s="67"/>
      <c r="U910" s="67"/>
      <c r="V910" s="67"/>
      <c r="W910" s="67"/>
      <c r="X910" s="67"/>
      <c r="Y910" s="67"/>
    </row>
    <row r="911" spans="2:25" ht="14.25">
      <c r="B911" s="15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15"/>
      <c r="N911" s="15"/>
      <c r="O911" s="15"/>
      <c r="P911" s="15"/>
      <c r="Q911" s="15"/>
      <c r="R911" s="15"/>
      <c r="S911" s="15"/>
      <c r="T911" s="67"/>
      <c r="U911" s="67"/>
      <c r="V911" s="67"/>
      <c r="W911" s="67"/>
      <c r="X911" s="67"/>
      <c r="Y911" s="67"/>
    </row>
    <row r="912" spans="2:25" ht="14.25">
      <c r="B912" s="15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15"/>
      <c r="N912" s="15"/>
      <c r="O912" s="15"/>
      <c r="P912" s="15"/>
      <c r="Q912" s="15"/>
      <c r="R912" s="15"/>
      <c r="S912" s="15"/>
      <c r="T912" s="67"/>
      <c r="U912" s="67"/>
      <c r="V912" s="67"/>
      <c r="W912" s="67"/>
      <c r="X912" s="67"/>
      <c r="Y912" s="67"/>
    </row>
    <row r="913" spans="2:25" ht="14.25">
      <c r="B913" s="15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15"/>
      <c r="N913" s="15"/>
      <c r="O913" s="15"/>
      <c r="P913" s="15"/>
      <c r="Q913" s="15"/>
      <c r="R913" s="15"/>
      <c r="S913" s="15"/>
      <c r="T913" s="67"/>
      <c r="U913" s="67"/>
      <c r="V913" s="67"/>
      <c r="W913" s="67"/>
      <c r="X913" s="67"/>
      <c r="Y913" s="67"/>
    </row>
    <row r="914" spans="2:25" ht="14.25">
      <c r="B914" s="15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15"/>
      <c r="N914" s="15"/>
      <c r="O914" s="15"/>
      <c r="P914" s="15"/>
      <c r="Q914" s="15"/>
      <c r="R914" s="15"/>
      <c r="S914" s="15"/>
      <c r="T914" s="67"/>
      <c r="U914" s="67"/>
      <c r="V914" s="67"/>
      <c r="W914" s="67"/>
      <c r="X914" s="67"/>
      <c r="Y914" s="67"/>
    </row>
    <row r="915" spans="2:25" ht="14.25">
      <c r="B915" s="15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15"/>
      <c r="N915" s="15"/>
      <c r="O915" s="15"/>
      <c r="P915" s="15"/>
      <c r="Q915" s="15"/>
      <c r="R915" s="15"/>
      <c r="S915" s="15"/>
      <c r="T915" s="67"/>
      <c r="U915" s="67"/>
      <c r="V915" s="67"/>
      <c r="W915" s="67"/>
      <c r="X915" s="67"/>
      <c r="Y915" s="67"/>
    </row>
    <row r="916" spans="2:25" ht="14.25">
      <c r="B916" s="15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15"/>
      <c r="N916" s="15"/>
      <c r="O916" s="15"/>
      <c r="P916" s="15"/>
      <c r="Q916" s="15"/>
      <c r="R916" s="15"/>
      <c r="S916" s="15"/>
      <c r="T916" s="67"/>
      <c r="U916" s="67"/>
      <c r="V916" s="67"/>
      <c r="W916" s="67"/>
      <c r="X916" s="67"/>
      <c r="Y916" s="67"/>
    </row>
    <row r="917" spans="2:25" ht="14.25">
      <c r="B917" s="15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15"/>
      <c r="N917" s="15"/>
      <c r="O917" s="15"/>
      <c r="P917" s="15"/>
      <c r="Q917" s="15"/>
      <c r="R917" s="15"/>
      <c r="S917" s="15"/>
      <c r="T917" s="67"/>
      <c r="U917" s="67"/>
      <c r="V917" s="67"/>
      <c r="W917" s="67"/>
      <c r="X917" s="67"/>
      <c r="Y917" s="67"/>
    </row>
    <row r="918" spans="2:25" ht="14.25">
      <c r="B918" s="15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15"/>
      <c r="N918" s="15"/>
      <c r="O918" s="15"/>
      <c r="P918" s="15"/>
      <c r="Q918" s="15"/>
      <c r="R918" s="15"/>
      <c r="S918" s="15"/>
      <c r="T918" s="67"/>
      <c r="U918" s="67"/>
      <c r="V918" s="67"/>
      <c r="W918" s="67"/>
      <c r="X918" s="67"/>
      <c r="Y918" s="67"/>
    </row>
    <row r="919" spans="2:25" ht="14.25">
      <c r="B919" s="15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15"/>
      <c r="N919" s="15"/>
      <c r="O919" s="15"/>
      <c r="P919" s="15"/>
      <c r="Q919" s="15"/>
      <c r="R919" s="15"/>
      <c r="S919" s="15"/>
      <c r="T919" s="67"/>
      <c r="U919" s="67"/>
      <c r="V919" s="67"/>
      <c r="W919" s="67"/>
      <c r="X919" s="67"/>
      <c r="Y919" s="67"/>
    </row>
    <row r="920" spans="2:25" ht="14.25">
      <c r="B920" s="15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15"/>
      <c r="N920" s="15"/>
      <c r="O920" s="15"/>
      <c r="P920" s="15"/>
      <c r="Q920" s="15"/>
      <c r="R920" s="15"/>
      <c r="S920" s="15"/>
      <c r="T920" s="67"/>
      <c r="U920" s="67"/>
      <c r="V920" s="67"/>
      <c r="W920" s="67"/>
      <c r="X920" s="67"/>
      <c r="Y920" s="67"/>
    </row>
    <row r="921" spans="2:25" ht="14.25">
      <c r="B921" s="15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15"/>
      <c r="N921" s="15"/>
      <c r="O921" s="15"/>
      <c r="P921" s="15"/>
      <c r="Q921" s="15"/>
      <c r="R921" s="15"/>
      <c r="S921" s="15"/>
      <c r="T921" s="67"/>
      <c r="U921" s="67"/>
      <c r="V921" s="67"/>
      <c r="W921" s="67"/>
      <c r="X921" s="67"/>
      <c r="Y921" s="67"/>
    </row>
    <row r="922" spans="2:25" ht="14.25">
      <c r="B922" s="15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15"/>
      <c r="N922" s="15"/>
      <c r="O922" s="15"/>
      <c r="P922" s="15"/>
      <c r="Q922" s="15"/>
      <c r="R922" s="15"/>
      <c r="S922" s="15"/>
      <c r="T922" s="67"/>
      <c r="U922" s="67"/>
      <c r="V922" s="67"/>
      <c r="W922" s="67"/>
      <c r="X922" s="67"/>
      <c r="Y922" s="67"/>
    </row>
  </sheetData>
  <sheetProtection/>
  <printOptions/>
  <pageMargins left="0.75" right="0.25" top="0.5" bottom="0.5" header="0.25" footer="0"/>
  <pageSetup horizontalDpi="600" verticalDpi="600" orientation="portrait" scale="70" r:id="rId3"/>
  <headerFooter alignWithMargins="0">
    <oddHeader>&amp;RSTATEMENT AG-3
PAGE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showOutlineSymbols="0" zoomScale="70" zoomScaleNormal="70" zoomScalePageLayoutView="0" workbookViewId="0" topLeftCell="A1">
      <pane xSplit="2" ySplit="1" topLeftCell="Q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12.7109375" defaultRowHeight="15"/>
  <cols>
    <col min="1" max="1" width="4.7109375" style="2" customWidth="1"/>
    <col min="2" max="2" width="46.57421875" style="4" customWidth="1"/>
    <col min="3" max="7" width="15.7109375" style="4" customWidth="1"/>
    <col min="8" max="8" width="2.7109375" style="4" customWidth="1"/>
    <col min="9" max="13" width="15.7109375" style="4" customWidth="1"/>
    <col min="14" max="14" width="2.7109375" style="4" customWidth="1"/>
    <col min="15" max="19" width="15.7109375" style="4" customWidth="1"/>
    <col min="20" max="20" width="2.7109375" style="4" customWidth="1"/>
    <col min="21" max="25" width="15.7109375" style="4" customWidth="1"/>
    <col min="26" max="16384" width="12.7109375" style="4" customWidth="1"/>
  </cols>
  <sheetData>
    <row r="1" spans="2:25" ht="14.25">
      <c r="B1" s="3" t="s">
        <v>205</v>
      </c>
      <c r="G1" s="37"/>
      <c r="H1" s="5"/>
      <c r="I1" s="5"/>
      <c r="J1" s="5"/>
      <c r="K1" s="5"/>
      <c r="L1" s="5"/>
      <c r="M1" s="37"/>
      <c r="N1" s="5"/>
      <c r="S1" s="37"/>
      <c r="Y1" s="37"/>
    </row>
    <row r="2" spans="2:25" ht="14.25">
      <c r="B2" s="3" t="s">
        <v>1</v>
      </c>
      <c r="G2" s="37"/>
      <c r="H2" s="5"/>
      <c r="I2" s="5"/>
      <c r="J2" s="5"/>
      <c r="K2" s="5"/>
      <c r="L2" s="5"/>
      <c r="M2" s="37"/>
      <c r="N2" s="5"/>
      <c r="S2" s="37"/>
      <c r="Y2" s="37"/>
    </row>
    <row r="3" ht="14.25">
      <c r="B3" s="3" t="s">
        <v>579</v>
      </c>
    </row>
    <row r="4" spans="7:25" ht="14.25">
      <c r="G4" s="38"/>
      <c r="H4" s="6"/>
      <c r="I4" s="6"/>
      <c r="J4" s="6"/>
      <c r="K4" s="6"/>
      <c r="L4" s="6"/>
      <c r="M4" s="38" t="s">
        <v>2</v>
      </c>
      <c r="N4" s="6"/>
      <c r="S4" s="38"/>
      <c r="Y4" s="38"/>
    </row>
    <row r="5" ht="14.25">
      <c r="B5" s="2"/>
    </row>
    <row r="8" spans="2:25" ht="14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/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/>
      <c r="O8" s="8" t="s">
        <v>14</v>
      </c>
      <c r="P8" s="8" t="s">
        <v>15</v>
      </c>
      <c r="Q8" s="8" t="s">
        <v>16</v>
      </c>
      <c r="R8" s="8" t="s">
        <v>17</v>
      </c>
      <c r="S8" s="8" t="s">
        <v>206</v>
      </c>
      <c r="U8" s="8" t="s">
        <v>207</v>
      </c>
      <c r="V8" s="8" t="s">
        <v>208</v>
      </c>
      <c r="W8" s="8" t="s">
        <v>209</v>
      </c>
      <c r="X8" s="8" t="s">
        <v>210</v>
      </c>
      <c r="Y8" s="8" t="s">
        <v>211</v>
      </c>
    </row>
    <row r="10" spans="3:25" ht="14.25">
      <c r="C10" s="9" t="s">
        <v>18</v>
      </c>
      <c r="D10" s="9"/>
      <c r="E10" s="10" t="s">
        <v>19</v>
      </c>
      <c r="F10" s="9"/>
      <c r="G10" s="11" t="s">
        <v>20</v>
      </c>
      <c r="H10" s="11"/>
      <c r="I10" s="12" t="s">
        <v>21</v>
      </c>
      <c r="J10" s="9"/>
      <c r="K10" s="9"/>
      <c r="L10" s="9"/>
      <c r="M10" s="9"/>
      <c r="N10" s="11"/>
      <c r="O10" s="12" t="s">
        <v>530</v>
      </c>
      <c r="P10" s="9"/>
      <c r="Q10" s="9"/>
      <c r="R10" s="9"/>
      <c r="S10" s="9"/>
      <c r="U10" s="12" t="s">
        <v>580</v>
      </c>
      <c r="V10" s="9"/>
      <c r="W10" s="9"/>
      <c r="X10" s="9"/>
      <c r="Y10" s="9"/>
    </row>
    <row r="11" spans="3:25" ht="14.25">
      <c r="C11" s="13"/>
      <c r="D11" s="13"/>
      <c r="G11" s="11" t="s">
        <v>22</v>
      </c>
      <c r="H11" s="11"/>
      <c r="I11" s="13"/>
      <c r="J11" s="13"/>
      <c r="K11" s="13"/>
      <c r="L11" s="13"/>
      <c r="M11" s="13"/>
      <c r="N11" s="11"/>
      <c r="O11" s="13"/>
      <c r="P11" s="13"/>
      <c r="Q11" s="13"/>
      <c r="R11" s="13"/>
      <c r="S11" s="13"/>
      <c r="U11" s="13"/>
      <c r="V11" s="13"/>
      <c r="W11" s="13"/>
      <c r="X11" s="13"/>
      <c r="Y11" s="13"/>
    </row>
    <row r="12" spans="3:14" ht="14.25"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24</v>
      </c>
      <c r="H12" s="11"/>
      <c r="N12" s="11"/>
    </row>
    <row r="13" spans="2:25" ht="14.25">
      <c r="B13" s="8" t="s">
        <v>25</v>
      </c>
      <c r="C13" s="8" t="s">
        <v>531</v>
      </c>
      <c r="D13" s="8" t="s">
        <v>581</v>
      </c>
      <c r="E13" s="8" t="str">
        <f>C13</f>
        <v>OF 12-31-13</v>
      </c>
      <c r="F13" s="8" t="str">
        <f>D13</f>
        <v>OF 12-31-14</v>
      </c>
      <c r="G13" s="8" t="s">
        <v>26</v>
      </c>
      <c r="H13" s="8"/>
      <c r="I13" s="8" t="s">
        <v>27</v>
      </c>
      <c r="J13" s="8" t="s">
        <v>212</v>
      </c>
      <c r="K13" s="8" t="s">
        <v>28</v>
      </c>
      <c r="L13" s="8" t="s">
        <v>29</v>
      </c>
      <c r="M13" s="8" t="s">
        <v>213</v>
      </c>
      <c r="N13" s="8"/>
      <c r="O13" s="8" t="s">
        <v>27</v>
      </c>
      <c r="P13" s="8" t="s">
        <v>212</v>
      </c>
      <c r="Q13" s="8" t="s">
        <v>28</v>
      </c>
      <c r="R13" s="8" t="s">
        <v>29</v>
      </c>
      <c r="S13" s="8" t="s">
        <v>213</v>
      </c>
      <c r="U13" s="8" t="s">
        <v>27</v>
      </c>
      <c r="V13" s="8" t="s">
        <v>212</v>
      </c>
      <c r="W13" s="8" t="s">
        <v>28</v>
      </c>
      <c r="X13" s="8" t="s">
        <v>29</v>
      </c>
      <c r="Y13" s="8" t="s">
        <v>213</v>
      </c>
    </row>
    <row r="15" spans="2:25" ht="14.25">
      <c r="B15" s="14" t="s">
        <v>30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2:25" ht="14.25">
      <c r="B16" s="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4.25">
      <c r="A17" s="17">
        <v>1</v>
      </c>
      <c r="B17" s="14" t="s">
        <v>31</v>
      </c>
      <c r="C17" s="15">
        <f>SUM(O17:S17)</f>
        <v>215394.9</v>
      </c>
      <c r="D17" s="15">
        <f>SUM(U17:Y17)</f>
        <v>188449.8</v>
      </c>
      <c r="E17" s="15"/>
      <c r="F17" s="15"/>
      <c r="G17" s="15">
        <f>ROUND(SUM(C17:F17)/2,0)</f>
        <v>201922</v>
      </c>
      <c r="H17" s="15"/>
      <c r="I17" s="15">
        <f>(+O17+U17)/2</f>
        <v>201922.34999999998</v>
      </c>
      <c r="J17" s="15">
        <f>(+P17+V17)/2</f>
        <v>0</v>
      </c>
      <c r="K17" s="15">
        <f>(+Q17+W17)/2</f>
        <v>0</v>
      </c>
      <c r="L17" s="15">
        <f>(+R17+X17)/2</f>
        <v>0</v>
      </c>
      <c r="M17" s="15">
        <f>(+S17+Y17)/2</f>
        <v>0</v>
      </c>
      <c r="N17" s="15"/>
      <c r="O17" s="81">
        <v>215394.9</v>
      </c>
      <c r="P17" s="81">
        <v>0</v>
      </c>
      <c r="Q17" s="81">
        <v>0</v>
      </c>
      <c r="R17" s="81">
        <v>0</v>
      </c>
      <c r="S17" s="81">
        <v>0</v>
      </c>
      <c r="T17" s="15"/>
      <c r="U17" s="81">
        <v>188449.8</v>
      </c>
      <c r="V17" s="81">
        <v>0</v>
      </c>
      <c r="W17" s="81">
        <v>0</v>
      </c>
      <c r="X17" s="81">
        <v>0</v>
      </c>
      <c r="Y17" s="81">
        <v>0</v>
      </c>
    </row>
    <row r="18" spans="1:25" ht="14.25">
      <c r="A18" s="17">
        <f aca="true" t="shared" si="0" ref="A18:A81">A17+1</f>
        <v>2</v>
      </c>
      <c r="B18" s="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4.25">
      <c r="A19" s="17">
        <f t="shared" si="0"/>
        <v>3</v>
      </c>
      <c r="B19" s="5" t="s">
        <v>32</v>
      </c>
      <c r="C19" s="15">
        <v>0</v>
      </c>
      <c r="D19" s="15">
        <v>0</v>
      </c>
      <c r="E19" s="15">
        <f aca="true" t="shared" si="1" ref="E19:F21">-C19</f>
        <v>0</v>
      </c>
      <c r="F19" s="15">
        <f t="shared" si="1"/>
        <v>0</v>
      </c>
      <c r="G19" s="15">
        <f>ROUND(SUM(C19:F19)/2,0)</f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4.25">
      <c r="A20" s="17">
        <f t="shared" si="0"/>
        <v>4</v>
      </c>
      <c r="B20" s="5" t="s">
        <v>33</v>
      </c>
      <c r="C20" s="15">
        <v>0</v>
      </c>
      <c r="D20" s="15">
        <v>0</v>
      </c>
      <c r="E20" s="15">
        <f t="shared" si="1"/>
        <v>0</v>
      </c>
      <c r="F20" s="15">
        <f t="shared" si="1"/>
        <v>0</v>
      </c>
      <c r="G20" s="15">
        <f>ROUND(SUM(C20:F20)/2,0)</f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4.25">
      <c r="A21" s="17">
        <f t="shared" si="0"/>
        <v>5</v>
      </c>
      <c r="B21" s="5" t="s">
        <v>34</v>
      </c>
      <c r="C21" s="15">
        <v>0</v>
      </c>
      <c r="D21" s="15">
        <v>0</v>
      </c>
      <c r="E21" s="15">
        <f t="shared" si="1"/>
        <v>0</v>
      </c>
      <c r="F21" s="15">
        <f t="shared" si="1"/>
        <v>0</v>
      </c>
      <c r="G21" s="15">
        <f>ROUND(SUM(C21:F21)/2,0)</f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4.25">
      <c r="A22" s="17">
        <f t="shared" si="0"/>
        <v>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" thickBot="1">
      <c r="A23" s="17">
        <f t="shared" si="0"/>
        <v>7</v>
      </c>
      <c r="B23" s="14" t="s">
        <v>35</v>
      </c>
      <c r="C23" s="18">
        <f aca="true" t="shared" si="2" ref="C23:O23">SUM(C17:C22)</f>
        <v>215394.9</v>
      </c>
      <c r="D23" s="18">
        <f t="shared" si="2"/>
        <v>188449.8</v>
      </c>
      <c r="E23" s="18">
        <f t="shared" si="2"/>
        <v>0</v>
      </c>
      <c r="F23" s="18">
        <f t="shared" si="2"/>
        <v>0</v>
      </c>
      <c r="G23" s="18">
        <f t="shared" si="2"/>
        <v>201922</v>
      </c>
      <c r="H23" s="18"/>
      <c r="I23" s="18">
        <f>SUM(I17:I22)</f>
        <v>201922.34999999998</v>
      </c>
      <c r="J23" s="18">
        <f>SUM(J17:J22)</f>
        <v>0</v>
      </c>
      <c r="K23" s="18">
        <f>SUM(K17:K22)</f>
        <v>0</v>
      </c>
      <c r="L23" s="18">
        <f>SUM(L17:L22)</f>
        <v>0</v>
      </c>
      <c r="M23" s="18">
        <f>SUM(M17:M22)</f>
        <v>0</v>
      </c>
      <c r="N23" s="18"/>
      <c r="O23" s="18">
        <f t="shared" si="2"/>
        <v>215394.9</v>
      </c>
      <c r="P23" s="18">
        <f>SUM(P17:P22)</f>
        <v>0</v>
      </c>
      <c r="Q23" s="18">
        <f>SUM(Q17:Q22)</f>
        <v>0</v>
      </c>
      <c r="R23" s="18">
        <f>SUM(R17:R22)</f>
        <v>0</v>
      </c>
      <c r="S23" s="18">
        <f>SUM(S17:S22)</f>
        <v>0</v>
      </c>
      <c r="T23" s="15"/>
      <c r="U23" s="18">
        <f>SUM(U17:U22)</f>
        <v>188449.8</v>
      </c>
      <c r="V23" s="18">
        <f>SUM(V17:V22)</f>
        <v>0</v>
      </c>
      <c r="W23" s="18">
        <f>SUM(W17:W22)</f>
        <v>0</v>
      </c>
      <c r="X23" s="18">
        <f>SUM(X17:X22)</f>
        <v>0</v>
      </c>
      <c r="Y23" s="18">
        <f>SUM(Y17:Y22)</f>
        <v>0</v>
      </c>
    </row>
    <row r="24" spans="1:25" ht="15" thickTop="1">
      <c r="A24" s="17">
        <f t="shared" si="0"/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5"/>
      <c r="U24" s="19"/>
      <c r="V24" s="19"/>
      <c r="W24" s="19"/>
      <c r="X24" s="19"/>
      <c r="Y24" s="19"/>
    </row>
    <row r="25" spans="1:25" ht="14.25">
      <c r="A25" s="17">
        <f t="shared" si="0"/>
        <v>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0" ht="14.25">
      <c r="A26" s="17">
        <f t="shared" si="0"/>
        <v>10</v>
      </c>
      <c r="B26" s="5" t="s">
        <v>36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5" ht="14.25">
      <c r="A27" s="17">
        <f t="shared" si="0"/>
        <v>11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25">
      <c r="A28" s="17">
        <f t="shared" si="0"/>
        <v>12</v>
      </c>
      <c r="B28" s="5" t="s">
        <v>214</v>
      </c>
      <c r="C28" s="15">
        <f aca="true" t="shared" si="3" ref="C28:C78">SUM(O28:S28)</f>
        <v>741407</v>
      </c>
      <c r="D28" s="15">
        <f aca="true" t="shared" si="4" ref="D28:D78">SUM(U28:Y28)</f>
        <v>741407</v>
      </c>
      <c r="E28" s="15"/>
      <c r="F28" s="15"/>
      <c r="G28" s="15">
        <f aca="true" t="shared" si="5" ref="G28:G51">ROUND(SUM(C28:F28)/2,0)</f>
        <v>741407</v>
      </c>
      <c r="H28" s="15"/>
      <c r="I28" s="15">
        <f aca="true" t="shared" si="6" ref="I28:M58">(+O28+U28)/2</f>
        <v>0</v>
      </c>
      <c r="J28" s="15">
        <f t="shared" si="6"/>
        <v>741407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/>
      <c r="O28" s="82">
        <v>0</v>
      </c>
      <c r="P28" s="82">
        <v>741407</v>
      </c>
      <c r="Q28" s="82">
        <v>0</v>
      </c>
      <c r="R28" s="82">
        <v>0</v>
      </c>
      <c r="S28" s="82">
        <v>0</v>
      </c>
      <c r="T28" s="15"/>
      <c r="U28" s="82">
        <v>0</v>
      </c>
      <c r="V28" s="82">
        <v>741407</v>
      </c>
      <c r="W28" s="82">
        <v>0</v>
      </c>
      <c r="X28" s="82">
        <v>0</v>
      </c>
      <c r="Y28" s="82">
        <v>0</v>
      </c>
    </row>
    <row r="29" spans="1:25" ht="14.25">
      <c r="A29" s="17">
        <f t="shared" si="0"/>
        <v>13</v>
      </c>
      <c r="B29" s="5" t="s">
        <v>215</v>
      </c>
      <c r="C29" s="15">
        <f t="shared" si="3"/>
        <v>0</v>
      </c>
      <c r="D29" s="15">
        <f t="shared" si="4"/>
        <v>0</v>
      </c>
      <c r="E29" s="15"/>
      <c r="F29" s="15"/>
      <c r="G29" s="15">
        <f t="shared" si="5"/>
        <v>0</v>
      </c>
      <c r="H29" s="15"/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/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15"/>
      <c r="U29" s="82">
        <v>0</v>
      </c>
      <c r="V29" s="82">
        <v>0</v>
      </c>
      <c r="W29" s="82">
        <v>0</v>
      </c>
      <c r="X29" s="82">
        <v>0</v>
      </c>
      <c r="Y29" s="82">
        <v>0</v>
      </c>
    </row>
    <row r="30" spans="1:25" ht="14.25">
      <c r="A30" s="17">
        <f t="shared" si="0"/>
        <v>14</v>
      </c>
      <c r="B30" s="5" t="s">
        <v>216</v>
      </c>
      <c r="C30" s="15">
        <f t="shared" si="3"/>
        <v>-1371542</v>
      </c>
      <c r="D30" s="15">
        <f t="shared" si="4"/>
        <v>-1371542</v>
      </c>
      <c r="E30" s="15"/>
      <c r="F30" s="15"/>
      <c r="G30" s="15">
        <f t="shared" si="5"/>
        <v>-1371542</v>
      </c>
      <c r="H30" s="15"/>
      <c r="I30" s="15">
        <f t="shared" si="6"/>
        <v>-23541</v>
      </c>
      <c r="J30" s="15">
        <f t="shared" si="6"/>
        <v>-248</v>
      </c>
      <c r="K30" s="15">
        <f t="shared" si="6"/>
        <v>-716765</v>
      </c>
      <c r="L30" s="15">
        <f t="shared" si="6"/>
        <v>-630988</v>
      </c>
      <c r="M30" s="15">
        <f t="shared" si="6"/>
        <v>0</v>
      </c>
      <c r="N30" s="15"/>
      <c r="O30" s="82">
        <v>-23541</v>
      </c>
      <c r="P30" s="82">
        <v>-248</v>
      </c>
      <c r="Q30" s="82">
        <v>-716765</v>
      </c>
      <c r="R30" s="82">
        <v>-630988</v>
      </c>
      <c r="S30" s="82">
        <v>0</v>
      </c>
      <c r="T30" s="15"/>
      <c r="U30" s="82">
        <v>-23541</v>
      </c>
      <c r="V30" s="82">
        <v>-248</v>
      </c>
      <c r="W30" s="82">
        <v>-716765</v>
      </c>
      <c r="X30" s="82">
        <v>-630988</v>
      </c>
      <c r="Y30" s="82">
        <v>0</v>
      </c>
    </row>
    <row r="31" spans="1:25" ht="14.25">
      <c r="A31" s="17">
        <f t="shared" si="0"/>
        <v>15</v>
      </c>
      <c r="B31" s="14" t="s">
        <v>37</v>
      </c>
      <c r="C31" s="15">
        <f t="shared" si="3"/>
        <v>630320626.07</v>
      </c>
      <c r="D31" s="15">
        <f t="shared" si="4"/>
        <v>669401278.02</v>
      </c>
      <c r="E31" s="15"/>
      <c r="F31" s="15"/>
      <c r="G31" s="15">
        <f t="shared" si="5"/>
        <v>649860952</v>
      </c>
      <c r="H31" s="15"/>
      <c r="I31" s="15">
        <f t="shared" si="6"/>
        <v>71941357.525</v>
      </c>
      <c r="J31" s="15">
        <f t="shared" si="6"/>
        <v>233268197.09999996</v>
      </c>
      <c r="K31" s="15">
        <f t="shared" si="6"/>
        <v>155437425.425</v>
      </c>
      <c r="L31" s="15">
        <f t="shared" si="6"/>
        <v>189213971.995</v>
      </c>
      <c r="M31" s="15">
        <f t="shared" si="6"/>
        <v>0</v>
      </c>
      <c r="N31" s="15"/>
      <c r="O31" s="82">
        <f>(4126.4+1755+19327.2+1592+23620187.15+3045+28813861.85+1502161+4881393.4-19380+6230487.75+20364+4130793.8)+1162302.15</f>
        <v>70372016.7</v>
      </c>
      <c r="P31" s="82">
        <f>(83.25+33-0.15+227434646.9+48519)+1198773.95</f>
        <v>228682055.95</v>
      </c>
      <c r="Q31" s="82">
        <f>(324.8+128-0.35+146557425+1409283)+890831.15</f>
        <v>148857991.6</v>
      </c>
      <c r="R31" s="82">
        <f>(5550.65+2210+182003658.87-68046)+465188.3</f>
        <v>182408561.82000002</v>
      </c>
      <c r="S31" s="82">
        <v>0</v>
      </c>
      <c r="T31" s="15"/>
      <c r="U31" s="82">
        <v>73510698.35000001</v>
      </c>
      <c r="V31" s="82">
        <v>237854338.24999997</v>
      </c>
      <c r="W31" s="82">
        <v>162016859.25</v>
      </c>
      <c r="X31" s="82">
        <v>196019382.17000002</v>
      </c>
      <c r="Y31" s="82">
        <v>0</v>
      </c>
    </row>
    <row r="32" spans="1:25" ht="14.25">
      <c r="A32" s="17">
        <f t="shared" si="0"/>
        <v>16</v>
      </c>
      <c r="B32" s="14" t="s">
        <v>39</v>
      </c>
      <c r="C32" s="15">
        <f>SUM(O32:S32)</f>
        <v>23891707</v>
      </c>
      <c r="D32" s="15">
        <f>SUM(U32:Y32)</f>
        <v>35782215</v>
      </c>
      <c r="E32" s="15"/>
      <c r="F32" s="15"/>
      <c r="G32" s="15">
        <f>ROUND(SUM(C32:F32)/2,0)</f>
        <v>29836961</v>
      </c>
      <c r="H32" s="15"/>
      <c r="I32" s="15">
        <f t="shared" si="6"/>
        <v>3323727.05</v>
      </c>
      <c r="J32" s="15">
        <f t="shared" si="6"/>
        <v>26116143.2</v>
      </c>
      <c r="K32" s="15">
        <f t="shared" si="6"/>
        <v>12517.75</v>
      </c>
      <c r="L32" s="15">
        <f t="shared" si="6"/>
        <v>384573</v>
      </c>
      <c r="M32" s="15">
        <f t="shared" si="6"/>
        <v>0</v>
      </c>
      <c r="N32" s="15"/>
      <c r="O32" s="82">
        <v>3306283.05</v>
      </c>
      <c r="P32" s="82">
        <v>20200850.95</v>
      </c>
      <c r="Q32" s="82">
        <v>0</v>
      </c>
      <c r="R32" s="82">
        <v>384573</v>
      </c>
      <c r="S32" s="82">
        <v>0</v>
      </c>
      <c r="T32" s="15"/>
      <c r="U32" s="82">
        <v>3341171.05</v>
      </c>
      <c r="V32" s="82">
        <v>32031435.45</v>
      </c>
      <c r="W32" s="82">
        <v>25035.5</v>
      </c>
      <c r="X32" s="82">
        <v>384573</v>
      </c>
      <c r="Y32" s="82">
        <v>0</v>
      </c>
    </row>
    <row r="33" spans="1:25" ht="14.25">
      <c r="A33" s="17">
        <f t="shared" si="0"/>
        <v>17</v>
      </c>
      <c r="B33" s="14" t="s">
        <v>217</v>
      </c>
      <c r="C33" s="15">
        <f>SUM(O33:S33)</f>
        <v>185280.2</v>
      </c>
      <c r="D33" s="15">
        <f>SUM(U33:Y33)</f>
        <v>140307.65000000002</v>
      </c>
      <c r="E33" s="15"/>
      <c r="F33" s="15"/>
      <c r="G33" s="15">
        <f>ROUND(SUM(C33:F33)/2,0)</f>
        <v>162794</v>
      </c>
      <c r="H33" s="15"/>
      <c r="I33" s="15">
        <f t="shared" si="6"/>
        <v>10136.35</v>
      </c>
      <c r="J33" s="15">
        <f t="shared" si="6"/>
        <v>127168.82500000001</v>
      </c>
      <c r="K33" s="15">
        <f t="shared" si="6"/>
        <v>7840</v>
      </c>
      <c r="L33" s="15">
        <f t="shared" si="6"/>
        <v>17648.75</v>
      </c>
      <c r="M33" s="15">
        <f t="shared" si="6"/>
        <v>0</v>
      </c>
      <c r="N33" s="15"/>
      <c r="O33" s="82">
        <v>11536.35</v>
      </c>
      <c r="P33" s="82">
        <v>144734.45</v>
      </c>
      <c r="Q33" s="82">
        <v>8922.9</v>
      </c>
      <c r="R33" s="82">
        <v>20086.5</v>
      </c>
      <c r="S33" s="82">
        <v>0</v>
      </c>
      <c r="T33" s="15"/>
      <c r="U33" s="82">
        <v>8736.35</v>
      </c>
      <c r="V33" s="82">
        <v>109603.2</v>
      </c>
      <c r="W33" s="82">
        <v>6757.1</v>
      </c>
      <c r="X33" s="82">
        <v>15211</v>
      </c>
      <c r="Y33" s="82">
        <v>0</v>
      </c>
    </row>
    <row r="34" spans="1:25" ht="14.25">
      <c r="A34" s="17">
        <f t="shared" si="0"/>
        <v>18</v>
      </c>
      <c r="B34" s="14" t="s">
        <v>218</v>
      </c>
      <c r="C34" s="15">
        <f>SUM(O34:S34)</f>
        <v>546105.35</v>
      </c>
      <c r="D34" s="15">
        <f>SUM(U34:Y34)</f>
        <v>443290.4</v>
      </c>
      <c r="E34" s="15"/>
      <c r="F34" s="15"/>
      <c r="G34" s="15">
        <f>ROUND(SUM(C34:F34)/2,0)</f>
        <v>494698</v>
      </c>
      <c r="H34" s="15"/>
      <c r="I34" s="15">
        <f t="shared" si="6"/>
        <v>0</v>
      </c>
      <c r="J34" s="15">
        <f t="shared" si="6"/>
        <v>0</v>
      </c>
      <c r="K34" s="15">
        <f t="shared" si="6"/>
        <v>0</v>
      </c>
      <c r="L34" s="15">
        <f t="shared" si="6"/>
        <v>494697.875</v>
      </c>
      <c r="M34" s="15">
        <f t="shared" si="6"/>
        <v>0</v>
      </c>
      <c r="N34" s="15"/>
      <c r="O34" s="82">
        <v>0</v>
      </c>
      <c r="P34" s="82">
        <v>0</v>
      </c>
      <c r="Q34" s="82">
        <v>0</v>
      </c>
      <c r="R34" s="82">
        <v>546105.35</v>
      </c>
      <c r="S34" s="82">
        <v>0</v>
      </c>
      <c r="T34" s="15"/>
      <c r="U34" s="82">
        <v>0</v>
      </c>
      <c r="V34" s="82">
        <v>0</v>
      </c>
      <c r="W34" s="82">
        <v>0</v>
      </c>
      <c r="X34" s="82">
        <v>443290.4</v>
      </c>
      <c r="Y34" s="82">
        <v>0</v>
      </c>
    </row>
    <row r="35" spans="1:25" ht="14.25">
      <c r="A35" s="17">
        <f t="shared" si="0"/>
        <v>19</v>
      </c>
      <c r="B35" s="14" t="s">
        <v>219</v>
      </c>
      <c r="C35" s="15">
        <f>SUM(O35:S35)</f>
        <v>323586.7</v>
      </c>
      <c r="D35" s="15">
        <f>SUM(U35:Y35)</f>
        <v>274419.99</v>
      </c>
      <c r="E35" s="15"/>
      <c r="F35" s="15"/>
      <c r="G35" s="15">
        <f>ROUND(SUM(C35:F35)/2,0)</f>
        <v>299003</v>
      </c>
      <c r="H35" s="15"/>
      <c r="I35" s="15">
        <f t="shared" si="6"/>
        <v>0</v>
      </c>
      <c r="J35" s="15">
        <f t="shared" si="6"/>
        <v>181660.675</v>
      </c>
      <c r="K35" s="15">
        <f t="shared" si="6"/>
        <v>117342.67</v>
      </c>
      <c r="L35" s="15">
        <f t="shared" si="6"/>
        <v>0</v>
      </c>
      <c r="M35" s="15">
        <f t="shared" si="6"/>
        <v>0</v>
      </c>
      <c r="N35" s="15"/>
      <c r="O35" s="82">
        <v>0</v>
      </c>
      <c r="P35" s="82">
        <v>189558.95</v>
      </c>
      <c r="Q35" s="82">
        <v>134027.75</v>
      </c>
      <c r="R35" s="82">
        <v>0</v>
      </c>
      <c r="S35" s="82">
        <v>0</v>
      </c>
      <c r="T35" s="15"/>
      <c r="U35" s="82">
        <v>0</v>
      </c>
      <c r="V35" s="82">
        <v>173762.4</v>
      </c>
      <c r="W35" s="82">
        <v>100657.59</v>
      </c>
      <c r="X35" s="82">
        <v>0</v>
      </c>
      <c r="Y35" s="82">
        <v>0</v>
      </c>
    </row>
    <row r="36" spans="1:25" ht="14.25">
      <c r="A36" s="17">
        <f t="shared" si="0"/>
        <v>20</v>
      </c>
      <c r="B36" s="14" t="s">
        <v>220</v>
      </c>
      <c r="C36" s="15">
        <f t="shared" si="3"/>
        <v>77712096.47</v>
      </c>
      <c r="D36" s="15">
        <f t="shared" si="4"/>
        <v>84131261.58</v>
      </c>
      <c r="E36" s="15"/>
      <c r="F36" s="15"/>
      <c r="G36" s="15">
        <f t="shared" si="5"/>
        <v>80921679</v>
      </c>
      <c r="H36" s="15"/>
      <c r="I36" s="15">
        <f t="shared" si="6"/>
        <v>16641433.31</v>
      </c>
      <c r="J36" s="15">
        <f t="shared" si="6"/>
        <v>64176063.6</v>
      </c>
      <c r="K36" s="15">
        <f t="shared" si="6"/>
        <v>-2823.21</v>
      </c>
      <c r="L36" s="15">
        <f t="shared" si="6"/>
        <v>107005.32500000001</v>
      </c>
      <c r="M36" s="15">
        <f t="shared" si="6"/>
        <v>0</v>
      </c>
      <c r="N36" s="15"/>
      <c r="O36" s="82">
        <v>12036608.39</v>
      </c>
      <c r="P36" s="82">
        <v>65573388.77</v>
      </c>
      <c r="Q36" s="82">
        <v>-2823.21</v>
      </c>
      <c r="R36" s="82">
        <v>104922.52</v>
      </c>
      <c r="S36" s="82">
        <v>0</v>
      </c>
      <c r="T36" s="15"/>
      <c r="U36" s="82">
        <v>21246258.23</v>
      </c>
      <c r="V36" s="82">
        <v>62778738.43</v>
      </c>
      <c r="W36" s="82">
        <v>-2823.21</v>
      </c>
      <c r="X36" s="82">
        <v>109088.13</v>
      </c>
      <c r="Y36" s="82">
        <v>0</v>
      </c>
    </row>
    <row r="37" spans="1:25" ht="14.25">
      <c r="A37" s="17">
        <f t="shared" si="0"/>
        <v>21</v>
      </c>
      <c r="B37" s="14" t="s">
        <v>42</v>
      </c>
      <c r="C37" s="15">
        <f t="shared" si="3"/>
        <v>51316083.1</v>
      </c>
      <c r="D37" s="15">
        <f t="shared" si="4"/>
        <v>55518606.349999994</v>
      </c>
      <c r="E37" s="15"/>
      <c r="F37" s="15"/>
      <c r="G37" s="15">
        <f t="shared" si="5"/>
        <v>53417345</v>
      </c>
      <c r="H37" s="15"/>
      <c r="I37" s="15">
        <f t="shared" si="6"/>
        <v>6701874.825</v>
      </c>
      <c r="J37" s="15">
        <f t="shared" si="6"/>
        <v>19074307.65</v>
      </c>
      <c r="K37" s="15">
        <f t="shared" si="6"/>
        <v>5860962.800000001</v>
      </c>
      <c r="L37" s="15">
        <f t="shared" si="6"/>
        <v>21780199.45</v>
      </c>
      <c r="M37" s="15">
        <f t="shared" si="6"/>
        <v>0</v>
      </c>
      <c r="N37" s="15"/>
      <c r="O37" s="82">
        <f>12717472.5-6316191</f>
        <v>6401281.5</v>
      </c>
      <c r="P37" s="82">
        <f>19749132.8-1930664</f>
        <v>17818468.8</v>
      </c>
      <c r="Q37" s="82">
        <f>11135588.55-5212197</f>
        <v>5923391.550000001</v>
      </c>
      <c r="R37" s="82">
        <f>30964568.25-9791627</f>
        <v>21172941.25</v>
      </c>
      <c r="S37" s="82">
        <v>0</v>
      </c>
      <c r="T37" s="15"/>
      <c r="U37" s="82">
        <v>7002468.15</v>
      </c>
      <c r="V37" s="82">
        <v>20330146.5</v>
      </c>
      <c r="W37" s="82">
        <v>5798534.050000001</v>
      </c>
      <c r="X37" s="82">
        <v>22387457.65</v>
      </c>
      <c r="Y37" s="82">
        <v>0</v>
      </c>
    </row>
    <row r="38" spans="1:25" ht="14.25">
      <c r="A38" s="17">
        <f t="shared" si="0"/>
        <v>22</v>
      </c>
      <c r="B38" s="14" t="s">
        <v>221</v>
      </c>
      <c r="C38" s="15">
        <f>SUM(O38:S38)</f>
        <v>-3243943.47</v>
      </c>
      <c r="D38" s="15">
        <f>SUM(U38:Y38)</f>
        <v>-2956940.67</v>
      </c>
      <c r="E38" s="15"/>
      <c r="F38" s="15"/>
      <c r="G38" s="15">
        <f>ROUND(SUM(C38:F38)/2,0)</f>
        <v>-3100442</v>
      </c>
      <c r="H38" s="15"/>
      <c r="I38" s="15">
        <f t="shared" si="6"/>
        <v>-2674903.4450000003</v>
      </c>
      <c r="J38" s="15">
        <f t="shared" si="6"/>
        <v>-425538.625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/>
      <c r="O38" s="82">
        <v>-2798709.12</v>
      </c>
      <c r="P38" s="82">
        <v>-445234.35</v>
      </c>
      <c r="Q38" s="82">
        <v>0</v>
      </c>
      <c r="R38" s="82">
        <v>0</v>
      </c>
      <c r="S38" s="82">
        <v>0</v>
      </c>
      <c r="T38" s="15"/>
      <c r="U38" s="82">
        <v>-2551097.77</v>
      </c>
      <c r="V38" s="82">
        <v>-405842.9</v>
      </c>
      <c r="W38" s="82">
        <v>0</v>
      </c>
      <c r="X38" s="82">
        <v>0</v>
      </c>
      <c r="Y38" s="82">
        <v>0</v>
      </c>
    </row>
    <row r="39" spans="1:25" ht="14.25">
      <c r="A39" s="17">
        <f t="shared" si="0"/>
        <v>23</v>
      </c>
      <c r="B39" s="5" t="s">
        <v>43</v>
      </c>
      <c r="C39" s="15">
        <f t="shared" si="3"/>
        <v>18160201.14</v>
      </c>
      <c r="D39" s="15">
        <f t="shared" si="4"/>
        <v>19143256.4</v>
      </c>
      <c r="E39" s="15"/>
      <c r="F39" s="15"/>
      <c r="G39" s="15">
        <f t="shared" si="5"/>
        <v>18651729</v>
      </c>
      <c r="H39" s="15"/>
      <c r="I39" s="15">
        <f t="shared" si="6"/>
        <v>3819126.12</v>
      </c>
      <c r="J39" s="15">
        <f t="shared" si="6"/>
        <v>7654636.61</v>
      </c>
      <c r="K39" s="15">
        <f t="shared" si="6"/>
        <v>3452023.1550000003</v>
      </c>
      <c r="L39" s="15">
        <f t="shared" si="6"/>
        <v>3725942.885</v>
      </c>
      <c r="M39" s="15">
        <f t="shared" si="6"/>
        <v>0</v>
      </c>
      <c r="N39" s="15"/>
      <c r="O39" s="82">
        <f>6597718.62-2975373</f>
        <v>3622345.62</v>
      </c>
      <c r="P39" s="82">
        <f>8962783.14-1636236</f>
        <v>7326547.140000001</v>
      </c>
      <c r="Q39" s="82">
        <f>7873630.65-4429583</f>
        <v>3444047.6500000004</v>
      </c>
      <c r="R39" s="82">
        <f>8629666.73-4862406</f>
        <v>3767260.7300000004</v>
      </c>
      <c r="S39" s="82">
        <v>0</v>
      </c>
      <c r="T39" s="15"/>
      <c r="U39" s="82">
        <v>4015906.62</v>
      </c>
      <c r="V39" s="82">
        <v>7982726.08</v>
      </c>
      <c r="W39" s="82">
        <v>3459998.66</v>
      </c>
      <c r="X39" s="82">
        <v>3684625.039999999</v>
      </c>
      <c r="Y39" s="82">
        <v>0</v>
      </c>
    </row>
    <row r="40" spans="1:25" ht="14.25">
      <c r="A40" s="17">
        <f t="shared" si="0"/>
        <v>24</v>
      </c>
      <c r="B40" s="5" t="s">
        <v>222</v>
      </c>
      <c r="C40" s="15">
        <f t="shared" si="3"/>
        <v>1259100.8499999996</v>
      </c>
      <c r="D40" s="15">
        <f t="shared" si="4"/>
        <v>1227429</v>
      </c>
      <c r="E40" s="15"/>
      <c r="F40" s="15"/>
      <c r="G40" s="15">
        <f t="shared" si="5"/>
        <v>1243265</v>
      </c>
      <c r="H40" s="15"/>
      <c r="I40" s="15">
        <f t="shared" si="6"/>
        <v>0</v>
      </c>
      <c r="J40" s="15">
        <f t="shared" si="6"/>
        <v>1243264.9249999998</v>
      </c>
      <c r="K40" s="15">
        <f t="shared" si="6"/>
        <v>0</v>
      </c>
      <c r="L40" s="15">
        <f t="shared" si="6"/>
        <v>0</v>
      </c>
      <c r="M40" s="15">
        <f t="shared" si="6"/>
        <v>0</v>
      </c>
      <c r="N40" s="15"/>
      <c r="O40" s="82">
        <v>0</v>
      </c>
      <c r="P40" s="82">
        <f>8670604.85-7411504</f>
        <v>1259100.8499999996</v>
      </c>
      <c r="Q40" s="82">
        <v>0</v>
      </c>
      <c r="R40" s="82">
        <v>0</v>
      </c>
      <c r="S40" s="82">
        <v>0</v>
      </c>
      <c r="T40" s="15"/>
      <c r="U40" s="82">
        <v>0</v>
      </c>
      <c r="V40" s="82">
        <v>1227429</v>
      </c>
      <c r="W40" s="82">
        <v>0</v>
      </c>
      <c r="X40" s="82">
        <v>0</v>
      </c>
      <c r="Y40" s="82">
        <v>0</v>
      </c>
    </row>
    <row r="41" spans="1:25" ht="14.25">
      <c r="A41" s="17">
        <f t="shared" si="0"/>
        <v>25</v>
      </c>
      <c r="B41" s="5" t="s">
        <v>223</v>
      </c>
      <c r="C41" s="15">
        <f t="shared" si="3"/>
        <v>131416</v>
      </c>
      <c r="D41" s="15">
        <f t="shared" si="4"/>
        <v>65708</v>
      </c>
      <c r="E41" s="15"/>
      <c r="F41" s="15"/>
      <c r="G41" s="15">
        <f t="shared" si="5"/>
        <v>98562</v>
      </c>
      <c r="H41" s="15"/>
      <c r="I41" s="15">
        <f t="shared" si="6"/>
        <v>98562</v>
      </c>
      <c r="J41" s="15">
        <f t="shared" si="6"/>
        <v>0</v>
      </c>
      <c r="K41" s="15">
        <f t="shared" si="6"/>
        <v>0</v>
      </c>
      <c r="L41" s="15">
        <f t="shared" si="6"/>
        <v>0</v>
      </c>
      <c r="M41" s="15">
        <f t="shared" si="6"/>
        <v>0</v>
      </c>
      <c r="N41" s="15"/>
      <c r="O41" s="82">
        <f>1971237-1839821</f>
        <v>131416</v>
      </c>
      <c r="P41" s="82">
        <v>0</v>
      </c>
      <c r="Q41" s="82">
        <v>0</v>
      </c>
      <c r="R41" s="82">
        <v>0</v>
      </c>
      <c r="S41" s="82">
        <v>0</v>
      </c>
      <c r="T41" s="15"/>
      <c r="U41" s="82">
        <v>65708</v>
      </c>
      <c r="V41" s="82">
        <v>0</v>
      </c>
      <c r="W41" s="82">
        <v>0</v>
      </c>
      <c r="X41" s="82">
        <v>0</v>
      </c>
      <c r="Y41" s="82">
        <v>0</v>
      </c>
    </row>
    <row r="42" spans="1:25" ht="14.25">
      <c r="A42" s="17">
        <f t="shared" si="0"/>
        <v>26</v>
      </c>
      <c r="B42" s="5" t="s">
        <v>224</v>
      </c>
      <c r="C42" s="15">
        <f t="shared" si="3"/>
        <v>473539.1500000004</v>
      </c>
      <c r="D42" s="15">
        <f t="shared" si="4"/>
        <v>301343.1500000004</v>
      </c>
      <c r="E42" s="15"/>
      <c r="F42" s="15"/>
      <c r="G42" s="15">
        <f t="shared" si="5"/>
        <v>387441</v>
      </c>
      <c r="H42" s="15"/>
      <c r="I42" s="15">
        <f t="shared" si="6"/>
        <v>0</v>
      </c>
      <c r="J42" s="15">
        <f t="shared" si="6"/>
        <v>0</v>
      </c>
      <c r="K42" s="15">
        <f t="shared" si="6"/>
        <v>387441.1500000004</v>
      </c>
      <c r="L42" s="15">
        <f t="shared" si="6"/>
        <v>0</v>
      </c>
      <c r="M42" s="15">
        <f t="shared" si="6"/>
        <v>0</v>
      </c>
      <c r="N42" s="15"/>
      <c r="O42" s="82">
        <v>0</v>
      </c>
      <c r="P42" s="82">
        <v>0</v>
      </c>
      <c r="Q42" s="82">
        <f>5165898.15-4692359</f>
        <v>473539.1500000004</v>
      </c>
      <c r="R42" s="82">
        <v>0</v>
      </c>
      <c r="S42" s="82">
        <v>0</v>
      </c>
      <c r="T42" s="15"/>
      <c r="U42" s="82">
        <v>0</v>
      </c>
      <c r="V42" s="82">
        <v>0</v>
      </c>
      <c r="W42" s="82">
        <v>301343.1500000004</v>
      </c>
      <c r="X42" s="82">
        <v>0</v>
      </c>
      <c r="Y42" s="82">
        <v>0</v>
      </c>
    </row>
    <row r="43" spans="1:25" ht="14.25">
      <c r="A43" s="17">
        <f t="shared" si="0"/>
        <v>27</v>
      </c>
      <c r="B43" s="5" t="s">
        <v>225</v>
      </c>
      <c r="C43" s="15">
        <f t="shared" si="3"/>
        <v>1127022</v>
      </c>
      <c r="D43" s="15">
        <f t="shared" si="4"/>
        <v>0</v>
      </c>
      <c r="E43" s="15"/>
      <c r="F43" s="15"/>
      <c r="G43" s="15">
        <f t="shared" si="5"/>
        <v>563511</v>
      </c>
      <c r="H43" s="15"/>
      <c r="I43" s="15">
        <f t="shared" si="6"/>
        <v>563511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/>
      <c r="O43" s="82">
        <f>33810646-32683624</f>
        <v>1127022</v>
      </c>
      <c r="P43" s="82">
        <v>0</v>
      </c>
      <c r="Q43" s="82">
        <v>0</v>
      </c>
      <c r="R43" s="82">
        <v>0</v>
      </c>
      <c r="S43" s="82">
        <v>0</v>
      </c>
      <c r="T43" s="15"/>
      <c r="U43" s="82">
        <v>0</v>
      </c>
      <c r="V43" s="82">
        <v>0</v>
      </c>
      <c r="W43" s="82">
        <v>0</v>
      </c>
      <c r="X43" s="82">
        <v>0</v>
      </c>
      <c r="Y43" s="82">
        <v>0</v>
      </c>
    </row>
    <row r="44" spans="1:25" ht="14.25">
      <c r="A44" s="17">
        <f t="shared" si="0"/>
        <v>28</v>
      </c>
      <c r="B44" s="5" t="s">
        <v>226</v>
      </c>
      <c r="C44" s="15">
        <f t="shared" si="3"/>
        <v>406540</v>
      </c>
      <c r="D44" s="15">
        <f t="shared" si="4"/>
        <v>323887</v>
      </c>
      <c r="E44" s="15"/>
      <c r="F44" s="15"/>
      <c r="G44" s="15">
        <f t="shared" si="5"/>
        <v>365214</v>
      </c>
      <c r="H44" s="15"/>
      <c r="I44" s="15">
        <f t="shared" si="6"/>
        <v>365213.5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/>
      <c r="O44" s="82">
        <f>2396891-1990351</f>
        <v>406540</v>
      </c>
      <c r="P44" s="82">
        <v>0</v>
      </c>
      <c r="Q44" s="82">
        <v>0</v>
      </c>
      <c r="R44" s="82">
        <v>0</v>
      </c>
      <c r="S44" s="82">
        <v>0</v>
      </c>
      <c r="T44" s="15"/>
      <c r="U44" s="82">
        <v>323887</v>
      </c>
      <c r="V44" s="82">
        <v>0</v>
      </c>
      <c r="W44" s="82">
        <v>0</v>
      </c>
      <c r="X44" s="82">
        <v>0</v>
      </c>
      <c r="Y44" s="82">
        <v>0</v>
      </c>
    </row>
    <row r="45" spans="1:25" ht="14.25">
      <c r="A45" s="17">
        <f t="shared" si="0"/>
        <v>29</v>
      </c>
      <c r="B45" s="5" t="s">
        <v>227</v>
      </c>
      <c r="C45" s="15">
        <f t="shared" si="3"/>
        <v>141990.00999999978</v>
      </c>
      <c r="D45" s="15">
        <f t="shared" si="4"/>
        <v>0.009999999776482582</v>
      </c>
      <c r="E45" s="15"/>
      <c r="F45" s="15"/>
      <c r="G45" s="15">
        <f t="shared" si="5"/>
        <v>70995</v>
      </c>
      <c r="H45" s="15"/>
      <c r="I45" s="15">
        <f t="shared" si="6"/>
        <v>0</v>
      </c>
      <c r="J45" s="15">
        <f t="shared" si="6"/>
        <v>0</v>
      </c>
      <c r="K45" s="15">
        <f t="shared" si="6"/>
        <v>70995.00999999978</v>
      </c>
      <c r="L45" s="15">
        <f t="shared" si="6"/>
        <v>0</v>
      </c>
      <c r="M45" s="15">
        <f t="shared" si="6"/>
        <v>0</v>
      </c>
      <c r="N45" s="15"/>
      <c r="O45" s="82">
        <v>0</v>
      </c>
      <c r="P45" s="82">
        <v>0</v>
      </c>
      <c r="Q45" s="82">
        <f>4259682.01-4117692</f>
        <v>141990.00999999978</v>
      </c>
      <c r="R45" s="82">
        <v>0</v>
      </c>
      <c r="S45" s="82">
        <v>0</v>
      </c>
      <c r="T45" s="15"/>
      <c r="U45" s="82">
        <v>0</v>
      </c>
      <c r="V45" s="82">
        <v>0</v>
      </c>
      <c r="W45" s="82">
        <v>0.009999999776482582</v>
      </c>
      <c r="X45" s="82">
        <v>0</v>
      </c>
      <c r="Y45" s="82">
        <v>0</v>
      </c>
    </row>
    <row r="46" spans="1:25" ht="14.25">
      <c r="A46" s="17">
        <f t="shared" si="0"/>
        <v>30</v>
      </c>
      <c r="B46" s="5" t="s">
        <v>228</v>
      </c>
      <c r="C46" s="15">
        <f t="shared" si="3"/>
        <v>-54691</v>
      </c>
      <c r="D46" s="15">
        <f t="shared" si="4"/>
        <v>0</v>
      </c>
      <c r="E46" s="15"/>
      <c r="F46" s="15"/>
      <c r="G46" s="15">
        <f t="shared" si="5"/>
        <v>-27346</v>
      </c>
      <c r="H46" s="15"/>
      <c r="I46" s="15">
        <f t="shared" si="6"/>
        <v>-27345.5</v>
      </c>
      <c r="J46" s="15">
        <f t="shared" si="6"/>
        <v>0</v>
      </c>
      <c r="K46" s="15">
        <f t="shared" si="6"/>
        <v>0</v>
      </c>
      <c r="L46" s="15">
        <f t="shared" si="6"/>
        <v>0</v>
      </c>
      <c r="M46" s="15">
        <f t="shared" si="6"/>
        <v>0</v>
      </c>
      <c r="N46" s="15"/>
      <c r="O46" s="82">
        <f>-1640743+1586052</f>
        <v>-54691</v>
      </c>
      <c r="P46" s="82">
        <v>0</v>
      </c>
      <c r="Q46" s="82">
        <v>0</v>
      </c>
      <c r="R46" s="82">
        <v>0</v>
      </c>
      <c r="S46" s="82">
        <v>0</v>
      </c>
      <c r="T46" s="15"/>
      <c r="U46" s="82">
        <v>0</v>
      </c>
      <c r="V46" s="82">
        <v>0</v>
      </c>
      <c r="W46" s="82">
        <v>0</v>
      </c>
      <c r="X46" s="82">
        <v>0</v>
      </c>
      <c r="Y46" s="82">
        <v>0</v>
      </c>
    </row>
    <row r="47" spans="1:25" ht="14.25">
      <c r="A47" s="17">
        <f t="shared" si="0"/>
        <v>31</v>
      </c>
      <c r="B47" s="14" t="s">
        <v>229</v>
      </c>
      <c r="C47" s="15">
        <f t="shared" si="3"/>
        <v>371</v>
      </c>
      <c r="D47" s="15">
        <f t="shared" si="4"/>
        <v>0</v>
      </c>
      <c r="E47" s="15"/>
      <c r="F47" s="15"/>
      <c r="G47" s="15">
        <f t="shared" si="5"/>
        <v>186</v>
      </c>
      <c r="H47" s="15"/>
      <c r="I47" s="15">
        <f t="shared" si="6"/>
        <v>0</v>
      </c>
      <c r="J47" s="15">
        <f t="shared" si="6"/>
        <v>185.5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/>
      <c r="O47" s="82">
        <v>0</v>
      </c>
      <c r="P47" s="82">
        <f>1345561-1345190</f>
        <v>371</v>
      </c>
      <c r="Q47" s="82">
        <v>0</v>
      </c>
      <c r="R47" s="82">
        <v>0</v>
      </c>
      <c r="S47" s="82">
        <v>0</v>
      </c>
      <c r="T47" s="15"/>
      <c r="U47" s="82">
        <v>0</v>
      </c>
      <c r="V47" s="82">
        <v>0</v>
      </c>
      <c r="W47" s="82">
        <v>0</v>
      </c>
      <c r="X47" s="82">
        <v>0</v>
      </c>
      <c r="Y47" s="82">
        <v>0</v>
      </c>
    </row>
    <row r="48" spans="1:25" ht="14.25">
      <c r="A48" s="17">
        <f t="shared" si="0"/>
        <v>32</v>
      </c>
      <c r="B48" s="5" t="s">
        <v>230</v>
      </c>
      <c r="C48" s="15">
        <f t="shared" si="3"/>
        <v>14955</v>
      </c>
      <c r="D48" s="15">
        <f t="shared" si="4"/>
        <v>11217</v>
      </c>
      <c r="E48" s="15"/>
      <c r="F48" s="15"/>
      <c r="G48" s="15">
        <f t="shared" si="5"/>
        <v>13086</v>
      </c>
      <c r="H48" s="15"/>
      <c r="I48" s="15">
        <f t="shared" si="6"/>
        <v>13086</v>
      </c>
      <c r="J48" s="15">
        <f t="shared" si="6"/>
        <v>0</v>
      </c>
      <c r="K48" s="15">
        <f t="shared" si="6"/>
        <v>0</v>
      </c>
      <c r="L48" s="15">
        <f t="shared" si="6"/>
        <v>0</v>
      </c>
      <c r="M48" s="15">
        <f t="shared" si="6"/>
        <v>0</v>
      </c>
      <c r="N48" s="15"/>
      <c r="O48" s="82">
        <f>112163-97208</f>
        <v>14955</v>
      </c>
      <c r="P48" s="82">
        <v>0</v>
      </c>
      <c r="Q48" s="82">
        <v>0</v>
      </c>
      <c r="R48" s="82">
        <v>0</v>
      </c>
      <c r="S48" s="82">
        <v>0</v>
      </c>
      <c r="T48" s="15"/>
      <c r="U48" s="82">
        <v>11217</v>
      </c>
      <c r="V48" s="82">
        <v>0</v>
      </c>
      <c r="W48" s="82">
        <v>0</v>
      </c>
      <c r="X48" s="82">
        <v>0</v>
      </c>
      <c r="Y48" s="82">
        <v>0</v>
      </c>
    </row>
    <row r="49" spans="1:25" ht="14.25">
      <c r="A49" s="17">
        <f t="shared" si="0"/>
        <v>33</v>
      </c>
      <c r="B49" s="5" t="s">
        <v>231</v>
      </c>
      <c r="C49" s="15">
        <f t="shared" si="3"/>
        <v>47862</v>
      </c>
      <c r="D49" s="15">
        <f t="shared" si="4"/>
        <v>35896</v>
      </c>
      <c r="E49" s="15"/>
      <c r="F49" s="15"/>
      <c r="G49" s="15">
        <f t="shared" si="5"/>
        <v>41879</v>
      </c>
      <c r="H49" s="15"/>
      <c r="I49" s="15">
        <f t="shared" si="6"/>
        <v>41879</v>
      </c>
      <c r="J49" s="15">
        <f t="shared" si="6"/>
        <v>0</v>
      </c>
      <c r="K49" s="15">
        <f t="shared" si="6"/>
        <v>0</v>
      </c>
      <c r="L49" s="15">
        <f t="shared" si="6"/>
        <v>0</v>
      </c>
      <c r="M49" s="15">
        <f t="shared" si="6"/>
        <v>0</v>
      </c>
      <c r="N49" s="15"/>
      <c r="O49" s="82">
        <f>358962-311100</f>
        <v>47862</v>
      </c>
      <c r="P49" s="82">
        <v>0</v>
      </c>
      <c r="Q49" s="82">
        <v>0</v>
      </c>
      <c r="R49" s="82">
        <v>0</v>
      </c>
      <c r="S49" s="82">
        <v>0</v>
      </c>
      <c r="T49" s="15"/>
      <c r="U49" s="82">
        <v>35896</v>
      </c>
      <c r="V49" s="82">
        <v>0</v>
      </c>
      <c r="W49" s="82">
        <v>0</v>
      </c>
      <c r="X49" s="82">
        <v>0</v>
      </c>
      <c r="Y49" s="82">
        <v>0</v>
      </c>
    </row>
    <row r="50" spans="1:25" ht="14.25">
      <c r="A50" s="17">
        <f t="shared" si="0"/>
        <v>34</v>
      </c>
      <c r="B50" s="84" t="s">
        <v>232</v>
      </c>
      <c r="C50" s="15">
        <f t="shared" si="3"/>
        <v>52939.75</v>
      </c>
      <c r="D50" s="15">
        <f t="shared" si="4"/>
        <v>19471.75</v>
      </c>
      <c r="E50" s="15"/>
      <c r="F50" s="15"/>
      <c r="G50" s="15">
        <f t="shared" si="5"/>
        <v>36206</v>
      </c>
      <c r="H50" s="15"/>
      <c r="I50" s="15">
        <f t="shared" si="6"/>
        <v>7787</v>
      </c>
      <c r="J50" s="15">
        <f t="shared" si="6"/>
        <v>85.5</v>
      </c>
      <c r="K50" s="15">
        <f t="shared" si="6"/>
        <v>13481.850000000093</v>
      </c>
      <c r="L50" s="15">
        <f t="shared" si="6"/>
        <v>14851.399999999907</v>
      </c>
      <c r="M50" s="15">
        <f t="shared" si="6"/>
        <v>0</v>
      </c>
      <c r="N50" s="15"/>
      <c r="O50" s="82">
        <f>694507-683121</f>
        <v>11386</v>
      </c>
      <c r="P50" s="82">
        <f>7739-7614</f>
        <v>125</v>
      </c>
      <c r="Q50" s="82">
        <f>1202372.85-1182660</f>
        <v>19712.850000000093</v>
      </c>
      <c r="R50" s="82">
        <f>1324509.9-1302794</f>
        <v>21715.899999999907</v>
      </c>
      <c r="S50" s="82">
        <v>0</v>
      </c>
      <c r="T50" s="15"/>
      <c r="U50" s="82">
        <v>4188</v>
      </c>
      <c r="V50" s="82">
        <v>46</v>
      </c>
      <c r="W50" s="82">
        <v>7250.850000000093</v>
      </c>
      <c r="X50" s="82">
        <v>7986.899999999907</v>
      </c>
      <c r="Y50" s="82">
        <v>0</v>
      </c>
    </row>
    <row r="51" spans="1:25" ht="14.25">
      <c r="A51" s="17">
        <f t="shared" si="0"/>
        <v>35</v>
      </c>
      <c r="B51" s="84" t="s">
        <v>233</v>
      </c>
      <c r="C51" s="15">
        <f t="shared" si="3"/>
        <v>14749</v>
      </c>
      <c r="D51" s="15">
        <f t="shared" si="4"/>
        <v>7374</v>
      </c>
      <c r="E51" s="15"/>
      <c r="F51" s="15"/>
      <c r="G51" s="15">
        <f t="shared" si="5"/>
        <v>11062</v>
      </c>
      <c r="H51" s="15"/>
      <c r="I51" s="15">
        <f t="shared" si="6"/>
        <v>11061.5</v>
      </c>
      <c r="J51" s="15">
        <f t="shared" si="6"/>
        <v>0</v>
      </c>
      <c r="K51" s="15">
        <f t="shared" si="6"/>
        <v>0</v>
      </c>
      <c r="L51" s="15">
        <f t="shared" si="6"/>
        <v>0</v>
      </c>
      <c r="M51" s="15">
        <f t="shared" si="6"/>
        <v>0</v>
      </c>
      <c r="N51" s="15"/>
      <c r="O51" s="82">
        <f>221230-206481</f>
        <v>14749</v>
      </c>
      <c r="P51" s="82">
        <v>0</v>
      </c>
      <c r="Q51" s="82">
        <v>0</v>
      </c>
      <c r="R51" s="82">
        <v>0</v>
      </c>
      <c r="S51" s="82">
        <v>0</v>
      </c>
      <c r="T51" s="15"/>
      <c r="U51" s="82">
        <v>7374</v>
      </c>
      <c r="V51" s="82">
        <v>0</v>
      </c>
      <c r="W51" s="82">
        <v>0</v>
      </c>
      <c r="X51" s="82">
        <v>0</v>
      </c>
      <c r="Y51" s="82">
        <v>0</v>
      </c>
    </row>
    <row r="52" spans="1:25" ht="14.25">
      <c r="A52" s="17">
        <f t="shared" si="0"/>
        <v>36</v>
      </c>
      <c r="B52" s="84" t="s">
        <v>234</v>
      </c>
      <c r="C52" s="15">
        <f t="shared" si="3"/>
        <v>87701</v>
      </c>
      <c r="D52" s="15">
        <f t="shared" si="4"/>
        <v>55809</v>
      </c>
      <c r="E52" s="15"/>
      <c r="F52" s="15"/>
      <c r="G52" s="15">
        <f aca="true" t="shared" si="7" ref="G52:G81">ROUND(SUM(C52:F52)/2,0)</f>
        <v>71755</v>
      </c>
      <c r="H52" s="15"/>
      <c r="I52" s="15">
        <f t="shared" si="6"/>
        <v>0</v>
      </c>
      <c r="J52" s="15">
        <f t="shared" si="6"/>
        <v>0</v>
      </c>
      <c r="K52" s="15">
        <f t="shared" si="6"/>
        <v>71755</v>
      </c>
      <c r="L52" s="15">
        <f t="shared" si="6"/>
        <v>0</v>
      </c>
      <c r="M52" s="15">
        <f t="shared" si="6"/>
        <v>0</v>
      </c>
      <c r="N52" s="15"/>
      <c r="O52" s="82">
        <v>0</v>
      </c>
      <c r="P52" s="82">
        <v>0</v>
      </c>
      <c r="Q52" s="82">
        <f>956739-869038</f>
        <v>87701</v>
      </c>
      <c r="R52" s="82">
        <v>0</v>
      </c>
      <c r="S52" s="82">
        <v>0</v>
      </c>
      <c r="T52" s="15"/>
      <c r="U52" s="82">
        <v>0</v>
      </c>
      <c r="V52" s="82">
        <v>0</v>
      </c>
      <c r="W52" s="82">
        <v>55809</v>
      </c>
      <c r="X52" s="82">
        <v>0</v>
      </c>
      <c r="Y52" s="82">
        <v>0</v>
      </c>
    </row>
    <row r="53" spans="1:25" ht="14.25">
      <c r="A53" s="17">
        <f t="shared" si="0"/>
        <v>37</v>
      </c>
      <c r="B53" s="84" t="s">
        <v>235</v>
      </c>
      <c r="C53" s="15">
        <f t="shared" si="3"/>
        <v>12246</v>
      </c>
      <c r="D53" s="15">
        <f t="shared" si="4"/>
        <v>0</v>
      </c>
      <c r="E53" s="15"/>
      <c r="F53" s="15"/>
      <c r="G53" s="15">
        <f t="shared" si="7"/>
        <v>6123</v>
      </c>
      <c r="H53" s="15"/>
      <c r="I53" s="15">
        <f t="shared" si="6"/>
        <v>6123</v>
      </c>
      <c r="J53" s="15">
        <f t="shared" si="6"/>
        <v>0</v>
      </c>
      <c r="K53" s="15">
        <f t="shared" si="6"/>
        <v>0</v>
      </c>
      <c r="L53" s="15">
        <f t="shared" si="6"/>
        <v>0</v>
      </c>
      <c r="M53" s="15">
        <f t="shared" si="6"/>
        <v>0</v>
      </c>
      <c r="N53" s="15"/>
      <c r="O53" s="82">
        <f>367387-355141</f>
        <v>12246</v>
      </c>
      <c r="P53" s="82">
        <v>0</v>
      </c>
      <c r="Q53" s="82">
        <v>0</v>
      </c>
      <c r="R53" s="82">
        <v>0</v>
      </c>
      <c r="S53" s="82">
        <v>0</v>
      </c>
      <c r="T53" s="15"/>
      <c r="U53" s="82">
        <v>0</v>
      </c>
      <c r="V53" s="82">
        <v>0</v>
      </c>
      <c r="W53" s="82">
        <v>0</v>
      </c>
      <c r="X53" s="82">
        <v>0</v>
      </c>
      <c r="Y53" s="82">
        <v>0</v>
      </c>
    </row>
    <row r="54" spans="1:25" ht="14.25">
      <c r="A54" s="17">
        <f t="shared" si="0"/>
        <v>38</v>
      </c>
      <c r="B54" s="84" t="s">
        <v>236</v>
      </c>
      <c r="C54" s="15">
        <f t="shared" si="3"/>
        <v>1147</v>
      </c>
      <c r="D54" s="15">
        <f t="shared" si="4"/>
        <v>913</v>
      </c>
      <c r="E54" s="15"/>
      <c r="F54" s="15"/>
      <c r="G54" s="15">
        <f t="shared" si="7"/>
        <v>1030</v>
      </c>
      <c r="H54" s="15"/>
      <c r="I54" s="15">
        <f t="shared" si="6"/>
        <v>1030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/>
      <c r="O54" s="82">
        <f>6763-5616</f>
        <v>1147</v>
      </c>
      <c r="P54" s="82">
        <v>0</v>
      </c>
      <c r="Q54" s="82">
        <v>0</v>
      </c>
      <c r="R54" s="82">
        <v>0</v>
      </c>
      <c r="S54" s="82">
        <v>0</v>
      </c>
      <c r="T54" s="15"/>
      <c r="U54" s="82">
        <v>913</v>
      </c>
      <c r="V54" s="82">
        <v>0</v>
      </c>
      <c r="W54" s="82">
        <v>0</v>
      </c>
      <c r="X54" s="82">
        <v>0</v>
      </c>
      <c r="Y54" s="82">
        <v>0</v>
      </c>
    </row>
    <row r="55" spans="1:25" ht="14.25">
      <c r="A55" s="17">
        <f t="shared" si="0"/>
        <v>39</v>
      </c>
      <c r="B55" s="84" t="s">
        <v>237</v>
      </c>
      <c r="C55" s="15">
        <f t="shared" si="3"/>
        <v>26182</v>
      </c>
      <c r="D55" s="15">
        <f t="shared" si="4"/>
        <v>0</v>
      </c>
      <c r="E55" s="15"/>
      <c r="F55" s="15"/>
      <c r="G55" s="15">
        <f t="shared" si="7"/>
        <v>13091</v>
      </c>
      <c r="H55" s="15"/>
      <c r="I55" s="15">
        <f t="shared" si="6"/>
        <v>0</v>
      </c>
      <c r="J55" s="15">
        <f t="shared" si="6"/>
        <v>0</v>
      </c>
      <c r="K55" s="15">
        <f t="shared" si="6"/>
        <v>13091</v>
      </c>
      <c r="L55" s="15">
        <f t="shared" si="6"/>
        <v>0</v>
      </c>
      <c r="M55" s="15">
        <f t="shared" si="6"/>
        <v>0</v>
      </c>
      <c r="N55" s="15"/>
      <c r="O55" s="82">
        <v>0</v>
      </c>
      <c r="P55" s="82">
        <v>0</v>
      </c>
      <c r="Q55" s="82">
        <f>785450-759268</f>
        <v>26182</v>
      </c>
      <c r="R55" s="82">
        <v>0</v>
      </c>
      <c r="S55" s="82">
        <v>0</v>
      </c>
      <c r="T55" s="15"/>
      <c r="U55" s="82">
        <v>0</v>
      </c>
      <c r="V55" s="82">
        <v>0</v>
      </c>
      <c r="W55" s="82">
        <v>0</v>
      </c>
      <c r="X55" s="82">
        <v>0</v>
      </c>
      <c r="Y55" s="82">
        <v>0</v>
      </c>
    </row>
    <row r="56" spans="1:25" ht="14.25">
      <c r="A56" s="17">
        <f t="shared" si="0"/>
        <v>40</v>
      </c>
      <c r="B56" s="84" t="s">
        <v>238</v>
      </c>
      <c r="C56" s="15">
        <f t="shared" si="3"/>
        <v>262.95000000001164</v>
      </c>
      <c r="D56" s="15">
        <f t="shared" si="4"/>
        <v>-639.0499999999884</v>
      </c>
      <c r="E56" s="15"/>
      <c r="F56" s="15"/>
      <c r="G56" s="15">
        <f t="shared" si="7"/>
        <v>-188</v>
      </c>
      <c r="H56" s="15"/>
      <c r="I56" s="15">
        <f t="shared" si="6"/>
        <v>-41</v>
      </c>
      <c r="J56" s="15">
        <f t="shared" si="6"/>
        <v>0</v>
      </c>
      <c r="K56" s="15">
        <f t="shared" si="6"/>
        <v>-70</v>
      </c>
      <c r="L56" s="15">
        <f t="shared" si="6"/>
        <v>-77.04999999998836</v>
      </c>
      <c r="M56" s="15">
        <f t="shared" si="6"/>
        <v>0</v>
      </c>
      <c r="N56" s="15"/>
      <c r="O56" s="82">
        <f>208642-208586</f>
        <v>56</v>
      </c>
      <c r="P56" s="82">
        <f>2179-2179</f>
        <v>0</v>
      </c>
      <c r="Q56" s="82">
        <f>361214-361116</f>
        <v>98</v>
      </c>
      <c r="R56" s="82">
        <f>397906.95-397798</f>
        <v>108.95000000001164</v>
      </c>
      <c r="S56" s="82">
        <v>0</v>
      </c>
      <c r="T56" s="15"/>
      <c r="U56" s="82">
        <v>-138</v>
      </c>
      <c r="V56" s="82">
        <v>0</v>
      </c>
      <c r="W56" s="82">
        <v>-238</v>
      </c>
      <c r="X56" s="82">
        <v>-263.04999999998836</v>
      </c>
      <c r="Y56" s="82">
        <v>0</v>
      </c>
    </row>
    <row r="57" spans="1:25" ht="14.25">
      <c r="A57" s="17">
        <f t="shared" si="0"/>
        <v>41</v>
      </c>
      <c r="B57" s="14" t="s">
        <v>239</v>
      </c>
      <c r="C57" s="15">
        <f t="shared" si="3"/>
        <v>980.9500000000007</v>
      </c>
      <c r="D57" s="15">
        <f t="shared" si="4"/>
        <v>624.9500000000007</v>
      </c>
      <c r="E57" s="15"/>
      <c r="F57" s="15"/>
      <c r="G57" s="15">
        <f t="shared" si="7"/>
        <v>803</v>
      </c>
      <c r="H57" s="15"/>
      <c r="I57" s="15">
        <f t="shared" si="6"/>
        <v>0</v>
      </c>
      <c r="J57" s="15">
        <f t="shared" si="6"/>
        <v>0</v>
      </c>
      <c r="K57" s="15">
        <f t="shared" si="6"/>
        <v>802.9500000000007</v>
      </c>
      <c r="L57" s="15">
        <f t="shared" si="6"/>
        <v>0</v>
      </c>
      <c r="M57" s="15">
        <f t="shared" si="6"/>
        <v>0</v>
      </c>
      <c r="N57" s="15"/>
      <c r="O57" s="82">
        <v>0</v>
      </c>
      <c r="P57" s="82">
        <v>0</v>
      </c>
      <c r="Q57" s="82">
        <f>10701.95-9721</f>
        <v>980.9500000000007</v>
      </c>
      <c r="R57" s="82">
        <v>0</v>
      </c>
      <c r="S57" s="82">
        <v>0</v>
      </c>
      <c r="T57" s="15"/>
      <c r="U57" s="82">
        <v>0</v>
      </c>
      <c r="V57" s="82">
        <v>0</v>
      </c>
      <c r="W57" s="82">
        <v>624.9500000000007</v>
      </c>
      <c r="X57" s="82">
        <v>0</v>
      </c>
      <c r="Y57" s="82">
        <v>0</v>
      </c>
    </row>
    <row r="58" spans="1:25" ht="14.25">
      <c r="A58" s="17">
        <f t="shared" si="0"/>
        <v>42</v>
      </c>
      <c r="B58" s="14" t="s">
        <v>240</v>
      </c>
      <c r="C58" s="15">
        <f t="shared" si="3"/>
        <v>878</v>
      </c>
      <c r="D58" s="15">
        <f t="shared" si="4"/>
        <v>439</v>
      </c>
      <c r="E58" s="15"/>
      <c r="F58" s="15"/>
      <c r="G58" s="15">
        <f t="shared" si="7"/>
        <v>659</v>
      </c>
      <c r="H58" s="15"/>
      <c r="I58" s="15">
        <f t="shared" si="6"/>
        <v>658.5</v>
      </c>
      <c r="J58" s="15">
        <f t="shared" si="6"/>
        <v>0</v>
      </c>
      <c r="K58" s="15">
        <f t="shared" si="6"/>
        <v>0</v>
      </c>
      <c r="L58" s="15">
        <f t="shared" si="6"/>
        <v>0</v>
      </c>
      <c r="M58" s="15">
        <f t="shared" si="6"/>
        <v>0</v>
      </c>
      <c r="N58" s="15"/>
      <c r="O58" s="82">
        <f>13172-12294</f>
        <v>878</v>
      </c>
      <c r="P58" s="82">
        <v>0</v>
      </c>
      <c r="Q58" s="82">
        <v>0</v>
      </c>
      <c r="R58" s="82">
        <v>0</v>
      </c>
      <c r="S58" s="82">
        <v>0</v>
      </c>
      <c r="T58" s="15"/>
      <c r="U58" s="82">
        <v>439</v>
      </c>
      <c r="V58" s="82">
        <v>0</v>
      </c>
      <c r="W58" s="82">
        <v>0</v>
      </c>
      <c r="X58" s="82">
        <v>0</v>
      </c>
      <c r="Y58" s="82">
        <v>0</v>
      </c>
    </row>
    <row r="59" spans="1:25" ht="14.25">
      <c r="A59" s="17">
        <f t="shared" si="0"/>
        <v>43</v>
      </c>
      <c r="B59" s="14" t="s">
        <v>241</v>
      </c>
      <c r="C59" s="15">
        <f t="shared" si="3"/>
        <v>864</v>
      </c>
      <c r="D59" s="15">
        <f t="shared" si="4"/>
        <v>0</v>
      </c>
      <c r="E59" s="15"/>
      <c r="F59" s="15"/>
      <c r="G59" s="15">
        <f t="shared" si="7"/>
        <v>432</v>
      </c>
      <c r="H59" s="15"/>
      <c r="I59" s="15">
        <f aca="true" t="shared" si="8" ref="I59:M78">(+O59+U59)/2</f>
        <v>432</v>
      </c>
      <c r="J59" s="15">
        <f t="shared" si="8"/>
        <v>0</v>
      </c>
      <c r="K59" s="15">
        <f t="shared" si="8"/>
        <v>0</v>
      </c>
      <c r="L59" s="15">
        <f t="shared" si="8"/>
        <v>0</v>
      </c>
      <c r="M59" s="15">
        <f t="shared" si="8"/>
        <v>0</v>
      </c>
      <c r="N59" s="15"/>
      <c r="O59" s="82">
        <f>25934-25070</f>
        <v>864</v>
      </c>
      <c r="P59" s="82">
        <v>0</v>
      </c>
      <c r="Q59" s="82">
        <v>0</v>
      </c>
      <c r="R59" s="82">
        <v>0</v>
      </c>
      <c r="S59" s="82">
        <v>0</v>
      </c>
      <c r="T59" s="15"/>
      <c r="U59" s="82">
        <v>0</v>
      </c>
      <c r="V59" s="82">
        <v>0</v>
      </c>
      <c r="W59" s="82">
        <v>0</v>
      </c>
      <c r="X59" s="82">
        <v>0</v>
      </c>
      <c r="Y59" s="82">
        <v>0</v>
      </c>
    </row>
    <row r="60" spans="1:25" ht="14.25">
      <c r="A60" s="17">
        <f t="shared" si="0"/>
        <v>44</v>
      </c>
      <c r="B60" s="14" t="s">
        <v>242</v>
      </c>
      <c r="C60" s="15">
        <f t="shared" si="3"/>
        <v>517</v>
      </c>
      <c r="D60" s="15">
        <f t="shared" si="4"/>
        <v>0</v>
      </c>
      <c r="E60" s="15"/>
      <c r="F60" s="15"/>
      <c r="G60" s="15">
        <f t="shared" si="7"/>
        <v>259</v>
      </c>
      <c r="H60" s="15"/>
      <c r="I60" s="15">
        <f t="shared" si="8"/>
        <v>0</v>
      </c>
      <c r="J60" s="15">
        <f t="shared" si="8"/>
        <v>0</v>
      </c>
      <c r="K60" s="15">
        <f t="shared" si="8"/>
        <v>258.5</v>
      </c>
      <c r="L60" s="15">
        <f t="shared" si="8"/>
        <v>0</v>
      </c>
      <c r="M60" s="15">
        <f t="shared" si="8"/>
        <v>0</v>
      </c>
      <c r="N60" s="15"/>
      <c r="O60" s="82">
        <v>0</v>
      </c>
      <c r="P60" s="82">
        <v>0</v>
      </c>
      <c r="Q60" s="82">
        <f>15517-15000</f>
        <v>517</v>
      </c>
      <c r="R60" s="82">
        <v>0</v>
      </c>
      <c r="S60" s="82">
        <v>0</v>
      </c>
      <c r="T60" s="15"/>
      <c r="U60" s="82">
        <v>0</v>
      </c>
      <c r="V60" s="82">
        <v>0</v>
      </c>
      <c r="W60" s="82">
        <v>0</v>
      </c>
      <c r="X60" s="82">
        <v>0</v>
      </c>
      <c r="Y60" s="82">
        <v>0</v>
      </c>
    </row>
    <row r="61" spans="1:25" ht="14.25">
      <c r="A61" s="17">
        <f t="shared" si="0"/>
        <v>45</v>
      </c>
      <c r="B61" s="5" t="s">
        <v>47</v>
      </c>
      <c r="C61" s="15">
        <f t="shared" si="3"/>
        <v>28.849999999999994</v>
      </c>
      <c r="D61" s="15">
        <f t="shared" si="4"/>
        <v>0</v>
      </c>
      <c r="E61" s="15"/>
      <c r="F61" s="15"/>
      <c r="G61" s="15">
        <f t="shared" si="7"/>
        <v>14</v>
      </c>
      <c r="H61" s="15"/>
      <c r="I61" s="15">
        <f t="shared" si="8"/>
        <v>91.925</v>
      </c>
      <c r="J61" s="15">
        <f t="shared" si="8"/>
        <v>-5.2</v>
      </c>
      <c r="K61" s="15">
        <f t="shared" si="8"/>
        <v>-17.25</v>
      </c>
      <c r="L61" s="15">
        <f t="shared" si="8"/>
        <v>-55.05</v>
      </c>
      <c r="M61" s="15">
        <f t="shared" si="8"/>
        <v>0</v>
      </c>
      <c r="N61" s="15"/>
      <c r="O61" s="82">
        <v>183.85</v>
      </c>
      <c r="P61" s="82">
        <v>-10.4</v>
      </c>
      <c r="Q61" s="82">
        <v>-34.5</v>
      </c>
      <c r="R61" s="82">
        <v>-110.1</v>
      </c>
      <c r="S61" s="82">
        <v>0</v>
      </c>
      <c r="T61" s="15"/>
      <c r="U61" s="82">
        <v>0</v>
      </c>
      <c r="V61" s="82">
        <v>0</v>
      </c>
      <c r="W61" s="82">
        <v>0</v>
      </c>
      <c r="X61" s="82">
        <v>0</v>
      </c>
      <c r="Y61" s="82">
        <v>0</v>
      </c>
    </row>
    <row r="62" spans="1:25" ht="14.25">
      <c r="A62" s="17">
        <f t="shared" si="0"/>
        <v>46</v>
      </c>
      <c r="B62" s="14" t="s">
        <v>243</v>
      </c>
      <c r="C62" s="15">
        <f t="shared" si="3"/>
        <v>5688.850000000006</v>
      </c>
      <c r="D62" s="15">
        <f t="shared" si="4"/>
        <v>2009.8500000000058</v>
      </c>
      <c r="E62" s="15"/>
      <c r="F62" s="15"/>
      <c r="G62" s="15">
        <f t="shared" si="7"/>
        <v>3849</v>
      </c>
      <c r="H62" s="15"/>
      <c r="I62" s="15">
        <f t="shared" si="8"/>
        <v>829.5</v>
      </c>
      <c r="J62" s="15">
        <f t="shared" si="8"/>
        <v>3</v>
      </c>
      <c r="K62" s="15">
        <f t="shared" si="8"/>
        <v>1435.5</v>
      </c>
      <c r="L62" s="15">
        <f t="shared" si="8"/>
        <v>1581.3500000000058</v>
      </c>
      <c r="M62" s="15">
        <f t="shared" si="8"/>
        <v>0</v>
      </c>
      <c r="N62" s="15"/>
      <c r="O62" s="82">
        <f>92190-90964</f>
        <v>1226</v>
      </c>
      <c r="P62" s="82">
        <f>370-366</f>
        <v>4</v>
      </c>
      <c r="Q62" s="82">
        <f>159607-157485</f>
        <v>2122</v>
      </c>
      <c r="R62" s="82">
        <f>175822.85-173486</f>
        <v>2336.850000000006</v>
      </c>
      <c r="S62" s="82">
        <v>0</v>
      </c>
      <c r="T62" s="15"/>
      <c r="U62" s="82">
        <v>433</v>
      </c>
      <c r="V62" s="82">
        <v>2</v>
      </c>
      <c r="W62" s="82">
        <v>749</v>
      </c>
      <c r="X62" s="82">
        <v>825.8500000000058</v>
      </c>
      <c r="Y62" s="82">
        <v>0</v>
      </c>
    </row>
    <row r="63" spans="1:25" ht="14.25">
      <c r="A63" s="17">
        <f t="shared" si="0"/>
        <v>47</v>
      </c>
      <c r="B63" s="14" t="s">
        <v>244</v>
      </c>
      <c r="C63" s="15">
        <f t="shared" si="3"/>
        <v>553</v>
      </c>
      <c r="D63" s="15">
        <f t="shared" si="4"/>
        <v>352</v>
      </c>
      <c r="E63" s="15"/>
      <c r="F63" s="15"/>
      <c r="G63" s="15">
        <f t="shared" si="7"/>
        <v>453</v>
      </c>
      <c r="H63" s="15"/>
      <c r="I63" s="15">
        <f t="shared" si="8"/>
        <v>0</v>
      </c>
      <c r="J63" s="15">
        <f t="shared" si="8"/>
        <v>0</v>
      </c>
      <c r="K63" s="15">
        <f t="shared" si="8"/>
        <v>452.5</v>
      </c>
      <c r="L63" s="15">
        <f t="shared" si="8"/>
        <v>0</v>
      </c>
      <c r="M63" s="15">
        <f t="shared" si="8"/>
        <v>0</v>
      </c>
      <c r="N63" s="15"/>
      <c r="O63" s="82">
        <v>0</v>
      </c>
      <c r="P63" s="82">
        <v>0</v>
      </c>
      <c r="Q63" s="82">
        <f>6042-5489</f>
        <v>553</v>
      </c>
      <c r="R63" s="82">
        <v>0</v>
      </c>
      <c r="S63" s="82">
        <v>0</v>
      </c>
      <c r="T63" s="15"/>
      <c r="U63" s="82">
        <v>0</v>
      </c>
      <c r="V63" s="82">
        <v>0</v>
      </c>
      <c r="W63" s="82">
        <v>352</v>
      </c>
      <c r="X63" s="82">
        <v>0</v>
      </c>
      <c r="Y63" s="82">
        <v>0</v>
      </c>
    </row>
    <row r="64" spans="1:25" ht="14.25">
      <c r="A64" s="17">
        <f t="shared" si="0"/>
        <v>48</v>
      </c>
      <c r="B64" s="14" t="s">
        <v>245</v>
      </c>
      <c r="C64" s="15">
        <f t="shared" si="3"/>
        <v>1467</v>
      </c>
      <c r="D64" s="15">
        <f t="shared" si="4"/>
        <v>733</v>
      </c>
      <c r="E64" s="15"/>
      <c r="F64" s="15"/>
      <c r="G64" s="15">
        <f t="shared" si="7"/>
        <v>1100</v>
      </c>
      <c r="H64" s="15"/>
      <c r="I64" s="15">
        <f t="shared" si="8"/>
        <v>1100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si="8"/>
        <v>0</v>
      </c>
      <c r="N64" s="15"/>
      <c r="O64" s="82">
        <f>22000-20533</f>
        <v>1467</v>
      </c>
      <c r="P64" s="82">
        <v>0</v>
      </c>
      <c r="Q64" s="82">
        <v>0</v>
      </c>
      <c r="R64" s="82">
        <v>0</v>
      </c>
      <c r="S64" s="82">
        <v>0</v>
      </c>
      <c r="T64" s="15"/>
      <c r="U64" s="82">
        <v>733</v>
      </c>
      <c r="V64" s="82">
        <v>0</v>
      </c>
      <c r="W64" s="82">
        <v>0</v>
      </c>
      <c r="X64" s="82">
        <v>0</v>
      </c>
      <c r="Y64" s="82">
        <v>0</v>
      </c>
    </row>
    <row r="65" spans="1:25" ht="14.25">
      <c r="A65" s="17">
        <f t="shared" si="0"/>
        <v>49</v>
      </c>
      <c r="B65" s="14" t="s">
        <v>246</v>
      </c>
      <c r="C65" s="15">
        <f t="shared" si="3"/>
        <v>286</v>
      </c>
      <c r="D65" s="15">
        <f t="shared" si="4"/>
        <v>0</v>
      </c>
      <c r="E65" s="15"/>
      <c r="F65" s="15"/>
      <c r="G65" s="15">
        <f t="shared" si="7"/>
        <v>143</v>
      </c>
      <c r="H65" s="15"/>
      <c r="I65" s="15">
        <f t="shared" si="8"/>
        <v>143</v>
      </c>
      <c r="J65" s="15">
        <f t="shared" si="8"/>
        <v>0</v>
      </c>
      <c r="K65" s="15">
        <f t="shared" si="8"/>
        <v>0</v>
      </c>
      <c r="L65" s="15">
        <f t="shared" si="8"/>
        <v>0</v>
      </c>
      <c r="M65" s="15">
        <f t="shared" si="8"/>
        <v>0</v>
      </c>
      <c r="N65" s="15"/>
      <c r="O65" s="82">
        <f>8572-8286</f>
        <v>286</v>
      </c>
      <c r="P65" s="82">
        <v>0</v>
      </c>
      <c r="Q65" s="82">
        <v>0</v>
      </c>
      <c r="R65" s="82">
        <v>0</v>
      </c>
      <c r="S65" s="82">
        <v>0</v>
      </c>
      <c r="T65" s="15"/>
      <c r="U65" s="82">
        <v>0</v>
      </c>
      <c r="V65" s="82">
        <v>0</v>
      </c>
      <c r="W65" s="82">
        <v>0</v>
      </c>
      <c r="X65" s="82">
        <v>0</v>
      </c>
      <c r="Y65" s="82">
        <v>0</v>
      </c>
    </row>
    <row r="66" spans="1:25" ht="14.25">
      <c r="A66" s="17">
        <f t="shared" si="0"/>
        <v>50</v>
      </c>
      <c r="B66" s="14" t="s">
        <v>247</v>
      </c>
      <c r="C66" s="15">
        <f t="shared" si="3"/>
        <v>202</v>
      </c>
      <c r="D66" s="15">
        <f t="shared" si="4"/>
        <v>0</v>
      </c>
      <c r="E66" s="15"/>
      <c r="F66" s="15"/>
      <c r="G66" s="15">
        <f t="shared" si="7"/>
        <v>101</v>
      </c>
      <c r="H66" s="15"/>
      <c r="I66" s="15">
        <f t="shared" si="8"/>
        <v>0</v>
      </c>
      <c r="J66" s="15">
        <f t="shared" si="8"/>
        <v>0</v>
      </c>
      <c r="K66" s="15">
        <f t="shared" si="8"/>
        <v>101</v>
      </c>
      <c r="L66" s="15">
        <f t="shared" si="8"/>
        <v>0</v>
      </c>
      <c r="M66" s="15">
        <f t="shared" si="8"/>
        <v>0</v>
      </c>
      <c r="N66" s="15"/>
      <c r="O66" s="82">
        <v>0</v>
      </c>
      <c r="P66" s="82">
        <v>0</v>
      </c>
      <c r="Q66" s="82">
        <f>6069-5867</f>
        <v>202</v>
      </c>
      <c r="R66" s="82">
        <v>0</v>
      </c>
      <c r="S66" s="82">
        <v>0</v>
      </c>
      <c r="T66" s="15"/>
      <c r="U66" s="82">
        <v>0</v>
      </c>
      <c r="V66" s="82">
        <v>0</v>
      </c>
      <c r="W66" s="82">
        <v>0</v>
      </c>
      <c r="X66" s="82">
        <v>0</v>
      </c>
      <c r="Y66" s="82">
        <v>0</v>
      </c>
    </row>
    <row r="67" spans="1:25" ht="14.25">
      <c r="A67" s="17">
        <f t="shared" si="0"/>
        <v>51</v>
      </c>
      <c r="B67" s="14" t="s">
        <v>248</v>
      </c>
      <c r="C67" s="15">
        <f t="shared" si="3"/>
        <v>-183145.55</v>
      </c>
      <c r="D67" s="15">
        <f t="shared" si="4"/>
        <v>-60501</v>
      </c>
      <c r="E67" s="15"/>
      <c r="F67" s="15"/>
      <c r="G67" s="15">
        <f t="shared" si="7"/>
        <v>-121823</v>
      </c>
      <c r="H67" s="15"/>
      <c r="I67" s="15">
        <f t="shared" si="8"/>
        <v>0</v>
      </c>
      <c r="J67" s="15">
        <f t="shared" si="8"/>
        <v>0</v>
      </c>
      <c r="K67" s="15">
        <f t="shared" si="8"/>
        <v>-121823.275</v>
      </c>
      <c r="L67" s="15">
        <f t="shared" si="8"/>
        <v>0</v>
      </c>
      <c r="M67" s="15">
        <f t="shared" si="8"/>
        <v>0</v>
      </c>
      <c r="N67" s="15"/>
      <c r="O67" s="82">
        <v>0</v>
      </c>
      <c r="P67" s="82">
        <v>0</v>
      </c>
      <c r="Q67" s="82">
        <v>-183145.55</v>
      </c>
      <c r="R67" s="82">
        <v>0</v>
      </c>
      <c r="S67" s="82">
        <v>0</v>
      </c>
      <c r="T67" s="15"/>
      <c r="U67" s="82">
        <v>0</v>
      </c>
      <c r="V67" s="82">
        <v>0</v>
      </c>
      <c r="W67" s="82">
        <v>-60501</v>
      </c>
      <c r="X67" s="82">
        <v>0</v>
      </c>
      <c r="Y67" s="82">
        <v>0</v>
      </c>
    </row>
    <row r="68" spans="1:25" ht="14.25">
      <c r="A68" s="17">
        <f t="shared" si="0"/>
        <v>52</v>
      </c>
      <c r="B68" s="5" t="s">
        <v>249</v>
      </c>
      <c r="C68" s="15">
        <f t="shared" si="3"/>
        <v>73871</v>
      </c>
      <c r="D68" s="15">
        <f t="shared" si="4"/>
        <v>60440</v>
      </c>
      <c r="E68" s="15"/>
      <c r="F68" s="15"/>
      <c r="G68" s="15">
        <f t="shared" si="7"/>
        <v>67156</v>
      </c>
      <c r="H68" s="15"/>
      <c r="I68" s="15">
        <f t="shared" si="8"/>
        <v>67155.5</v>
      </c>
      <c r="J68" s="15">
        <f t="shared" si="8"/>
        <v>0</v>
      </c>
      <c r="K68" s="15">
        <f t="shared" si="8"/>
        <v>0</v>
      </c>
      <c r="L68" s="15">
        <f t="shared" si="8"/>
        <v>0</v>
      </c>
      <c r="M68" s="15">
        <f t="shared" si="8"/>
        <v>0</v>
      </c>
      <c r="N68" s="15"/>
      <c r="O68" s="82">
        <f>402933-329062</f>
        <v>73871</v>
      </c>
      <c r="P68" s="82">
        <v>0</v>
      </c>
      <c r="Q68" s="82">
        <v>0</v>
      </c>
      <c r="R68" s="82">
        <v>0</v>
      </c>
      <c r="S68" s="82">
        <v>0</v>
      </c>
      <c r="T68" s="15"/>
      <c r="U68" s="82">
        <v>60440</v>
      </c>
      <c r="V68" s="82">
        <v>0</v>
      </c>
      <c r="W68" s="82">
        <v>0</v>
      </c>
      <c r="X68" s="82">
        <v>0</v>
      </c>
      <c r="Y68" s="82">
        <v>0</v>
      </c>
    </row>
    <row r="69" spans="1:25" ht="14.25">
      <c r="A69" s="17">
        <f t="shared" si="0"/>
        <v>53</v>
      </c>
      <c r="B69" s="5" t="s">
        <v>48</v>
      </c>
      <c r="C69" s="15">
        <f t="shared" si="3"/>
        <v>19584204.6</v>
      </c>
      <c r="D69" s="15">
        <f t="shared" si="4"/>
        <v>18066664.6</v>
      </c>
      <c r="E69" s="15"/>
      <c r="F69" s="15"/>
      <c r="G69" s="15">
        <f t="shared" si="7"/>
        <v>18825435</v>
      </c>
      <c r="H69" s="15"/>
      <c r="I69" s="15">
        <f t="shared" si="8"/>
        <v>5652513.1</v>
      </c>
      <c r="J69" s="15">
        <f t="shared" si="8"/>
        <v>607980.5</v>
      </c>
      <c r="K69" s="15">
        <f t="shared" si="8"/>
        <v>2368652.75</v>
      </c>
      <c r="L69" s="15">
        <f t="shared" si="8"/>
        <v>10196288.25</v>
      </c>
      <c r="M69" s="15">
        <f t="shared" si="8"/>
        <v>0</v>
      </c>
      <c r="N69" s="15"/>
      <c r="O69" s="82">
        <f>13321272.1-7489629</f>
        <v>5831643.1</v>
      </c>
      <c r="P69" s="82">
        <f>4477738-3822473</f>
        <v>655265</v>
      </c>
      <c r="Q69" s="82">
        <f>11940902.75-9437473</f>
        <v>2503429.75</v>
      </c>
      <c r="R69" s="82">
        <f>31934764.75-21340898</f>
        <v>10593866.75</v>
      </c>
      <c r="S69" s="82">
        <v>0</v>
      </c>
      <c r="T69" s="15"/>
      <c r="U69" s="82">
        <v>5473383.1</v>
      </c>
      <c r="V69" s="82">
        <v>560696</v>
      </c>
      <c r="W69" s="82">
        <v>2233875.75</v>
      </c>
      <c r="X69" s="82">
        <v>9798709.75</v>
      </c>
      <c r="Y69" s="82">
        <v>0</v>
      </c>
    </row>
    <row r="70" spans="1:25" ht="14.25">
      <c r="A70" s="17">
        <f t="shared" si="0"/>
        <v>54</v>
      </c>
      <c r="B70" s="14" t="s">
        <v>49</v>
      </c>
      <c r="C70" s="15">
        <f>SUM(O70:S70)</f>
        <v>83881856.80000001</v>
      </c>
      <c r="D70" s="15">
        <f>SUM(U70:Y70)</f>
        <v>112753818.1</v>
      </c>
      <c r="E70" s="15"/>
      <c r="F70" s="15"/>
      <c r="G70" s="15">
        <f>ROUND(SUM(C70:F70)/2,0)</f>
        <v>98317837</v>
      </c>
      <c r="H70" s="15"/>
      <c r="I70" s="15">
        <f t="shared" si="8"/>
        <v>33587726.725</v>
      </c>
      <c r="J70" s="15">
        <f t="shared" si="8"/>
        <v>64730110.724999994</v>
      </c>
      <c r="K70" s="15">
        <f t="shared" si="8"/>
        <v>0</v>
      </c>
      <c r="L70" s="15">
        <f t="shared" si="8"/>
        <v>0</v>
      </c>
      <c r="M70" s="15">
        <f t="shared" si="8"/>
        <v>0</v>
      </c>
      <c r="N70" s="15"/>
      <c r="O70" s="82">
        <v>37503741.45</v>
      </c>
      <c r="P70" s="82">
        <v>46378115.35</v>
      </c>
      <c r="Q70" s="82">
        <v>0</v>
      </c>
      <c r="R70" s="82">
        <v>0</v>
      </c>
      <c r="S70" s="82">
        <v>0</v>
      </c>
      <c r="T70" s="15"/>
      <c r="U70" s="82">
        <v>29671712</v>
      </c>
      <c r="V70" s="82">
        <v>83082106.1</v>
      </c>
      <c r="W70" s="82">
        <v>0</v>
      </c>
      <c r="X70" s="82">
        <v>0</v>
      </c>
      <c r="Y70" s="82">
        <v>0</v>
      </c>
    </row>
    <row r="71" spans="1:25" ht="14.25">
      <c r="A71" s="17">
        <f t="shared" si="0"/>
        <v>55</v>
      </c>
      <c r="B71" s="14" t="s">
        <v>50</v>
      </c>
      <c r="C71" s="15">
        <f>SUM(O71:S71)</f>
        <v>80265168.55</v>
      </c>
      <c r="D71" s="15">
        <f>SUM(U71:Y71)</f>
        <v>78179359.3</v>
      </c>
      <c r="E71" s="15"/>
      <c r="F71" s="15"/>
      <c r="G71" s="15">
        <f>ROUND(SUM(C71:F71)/2,0)</f>
        <v>79222264</v>
      </c>
      <c r="H71" s="15"/>
      <c r="I71" s="15">
        <f t="shared" si="8"/>
        <v>28508447.975</v>
      </c>
      <c r="J71" s="15">
        <f t="shared" si="8"/>
        <v>50713815.95</v>
      </c>
      <c r="K71" s="15">
        <f t="shared" si="8"/>
        <v>0</v>
      </c>
      <c r="L71" s="15">
        <f t="shared" si="8"/>
        <v>0</v>
      </c>
      <c r="M71" s="15">
        <f t="shared" si="8"/>
        <v>0</v>
      </c>
      <c r="N71" s="15"/>
      <c r="O71" s="82">
        <v>28936414.15</v>
      </c>
      <c r="P71" s="82">
        <v>51328754.4</v>
      </c>
      <c r="Q71" s="82">
        <v>0</v>
      </c>
      <c r="R71" s="82">
        <v>0</v>
      </c>
      <c r="S71" s="82">
        <v>0</v>
      </c>
      <c r="T71" s="15"/>
      <c r="U71" s="82">
        <v>28080481.8</v>
      </c>
      <c r="V71" s="82">
        <v>50098877.5</v>
      </c>
      <c r="W71" s="82">
        <v>0</v>
      </c>
      <c r="X71" s="82">
        <v>0</v>
      </c>
      <c r="Y71" s="82">
        <v>0</v>
      </c>
    </row>
    <row r="72" spans="1:25" ht="14.25">
      <c r="A72" s="17">
        <f t="shared" si="0"/>
        <v>56</v>
      </c>
      <c r="B72" s="14" t="s">
        <v>51</v>
      </c>
      <c r="C72" s="15">
        <f>SUM(O72:S72)</f>
        <v>9378445.35</v>
      </c>
      <c r="D72" s="15">
        <f>SUM(U72:Y72)</f>
        <v>10174747.9</v>
      </c>
      <c r="E72" s="15"/>
      <c r="F72" s="15"/>
      <c r="G72" s="15">
        <f>ROUND(SUM(C72:F72)/2,0)</f>
        <v>9776597</v>
      </c>
      <c r="H72" s="15"/>
      <c r="I72" s="15">
        <f t="shared" si="8"/>
        <v>0</v>
      </c>
      <c r="J72" s="15">
        <f t="shared" si="8"/>
        <v>0</v>
      </c>
      <c r="K72" s="15">
        <f t="shared" si="8"/>
        <v>506558.95000000007</v>
      </c>
      <c r="L72" s="15">
        <f t="shared" si="8"/>
        <v>9270037.675</v>
      </c>
      <c r="M72" s="15">
        <f t="shared" si="8"/>
        <v>0</v>
      </c>
      <c r="N72" s="15"/>
      <c r="O72" s="82">
        <v>0</v>
      </c>
      <c r="P72" s="82">
        <v>0</v>
      </c>
      <c r="Q72" s="82">
        <f>1236968.6-270581</f>
        <v>966387.6000000001</v>
      </c>
      <c r="R72" s="82">
        <f>10009987.75-1597930</f>
        <v>8412057.75</v>
      </c>
      <c r="S72" s="82">
        <v>0</v>
      </c>
      <c r="T72" s="15"/>
      <c r="U72" s="82">
        <v>0</v>
      </c>
      <c r="V72" s="82">
        <v>0</v>
      </c>
      <c r="W72" s="82">
        <v>46730.29999999999</v>
      </c>
      <c r="X72" s="82">
        <v>10128017.6</v>
      </c>
      <c r="Y72" s="82">
        <v>0</v>
      </c>
    </row>
    <row r="73" spans="1:25" ht="14.25">
      <c r="A73" s="17">
        <f t="shared" si="0"/>
        <v>57</v>
      </c>
      <c r="B73" s="5" t="s">
        <v>250</v>
      </c>
      <c r="C73" s="15">
        <f t="shared" si="3"/>
        <v>381115</v>
      </c>
      <c r="D73" s="15">
        <f t="shared" si="4"/>
        <v>381115</v>
      </c>
      <c r="E73" s="15"/>
      <c r="F73" s="15"/>
      <c r="G73" s="15">
        <f t="shared" si="7"/>
        <v>381115</v>
      </c>
      <c r="H73" s="15"/>
      <c r="I73" s="15">
        <f t="shared" si="8"/>
        <v>381115</v>
      </c>
      <c r="J73" s="15">
        <f t="shared" si="8"/>
        <v>0</v>
      </c>
      <c r="K73" s="15">
        <f t="shared" si="8"/>
        <v>0</v>
      </c>
      <c r="L73" s="15">
        <f t="shared" si="8"/>
        <v>0</v>
      </c>
      <c r="M73" s="15">
        <f t="shared" si="8"/>
        <v>0</v>
      </c>
      <c r="N73" s="15"/>
      <c r="O73" s="82">
        <v>381115</v>
      </c>
      <c r="P73" s="82">
        <v>0</v>
      </c>
      <c r="Q73" s="82">
        <v>0</v>
      </c>
      <c r="R73" s="82">
        <v>0</v>
      </c>
      <c r="S73" s="82">
        <v>0</v>
      </c>
      <c r="T73" s="15"/>
      <c r="U73" s="82">
        <v>381115</v>
      </c>
      <c r="V73" s="82">
        <v>0</v>
      </c>
      <c r="W73" s="82">
        <v>0</v>
      </c>
      <c r="X73" s="82">
        <v>0</v>
      </c>
      <c r="Y73" s="82">
        <v>0</v>
      </c>
    </row>
    <row r="74" spans="1:25" ht="14.25">
      <c r="A74" s="17">
        <f t="shared" si="0"/>
        <v>58</v>
      </c>
      <c r="B74" s="5" t="s">
        <v>251</v>
      </c>
      <c r="C74" s="15">
        <f t="shared" si="3"/>
        <v>31632</v>
      </c>
      <c r="D74" s="15">
        <f t="shared" si="4"/>
        <v>31632</v>
      </c>
      <c r="E74" s="15"/>
      <c r="F74" s="15"/>
      <c r="G74" s="15">
        <f t="shared" si="7"/>
        <v>31632</v>
      </c>
      <c r="H74" s="15"/>
      <c r="I74" s="15">
        <f t="shared" si="8"/>
        <v>31632</v>
      </c>
      <c r="J74" s="15">
        <f t="shared" si="8"/>
        <v>0</v>
      </c>
      <c r="K74" s="15">
        <f t="shared" si="8"/>
        <v>0</v>
      </c>
      <c r="L74" s="15">
        <f t="shared" si="8"/>
        <v>0</v>
      </c>
      <c r="M74" s="15">
        <f t="shared" si="8"/>
        <v>0</v>
      </c>
      <c r="N74" s="15"/>
      <c r="O74" s="82">
        <v>31632</v>
      </c>
      <c r="P74" s="82">
        <v>0</v>
      </c>
      <c r="Q74" s="82">
        <v>0</v>
      </c>
      <c r="R74" s="82">
        <v>0</v>
      </c>
      <c r="S74" s="82">
        <v>0</v>
      </c>
      <c r="T74" s="15"/>
      <c r="U74" s="82">
        <v>31632</v>
      </c>
      <c r="V74" s="82">
        <v>0</v>
      </c>
      <c r="W74" s="82">
        <v>0</v>
      </c>
      <c r="X74" s="82">
        <v>0</v>
      </c>
      <c r="Y74" s="82">
        <v>0</v>
      </c>
    </row>
    <row r="75" spans="1:25" ht="14.25">
      <c r="A75" s="17">
        <f t="shared" si="0"/>
        <v>59</v>
      </c>
      <c r="B75" s="14" t="s">
        <v>55</v>
      </c>
      <c r="C75" s="15">
        <f>SUM(O75:S75)</f>
        <v>273038.85</v>
      </c>
      <c r="D75" s="15">
        <f>SUM(U75:Y75)</f>
        <v>0</v>
      </c>
      <c r="E75" s="15"/>
      <c r="F75" s="15"/>
      <c r="G75" s="15">
        <f>ROUND(SUM(C75:F75)/2,0)</f>
        <v>136519</v>
      </c>
      <c r="H75" s="15"/>
      <c r="I75" s="15">
        <f t="shared" si="8"/>
        <v>11123.7</v>
      </c>
      <c r="J75" s="15">
        <f t="shared" si="8"/>
        <v>70079.45</v>
      </c>
      <c r="K75" s="15">
        <f t="shared" si="8"/>
        <v>672.7</v>
      </c>
      <c r="L75" s="15">
        <f t="shared" si="8"/>
        <v>54643.575</v>
      </c>
      <c r="M75" s="15">
        <f t="shared" si="8"/>
        <v>0</v>
      </c>
      <c r="N75" s="15"/>
      <c r="O75" s="82">
        <v>22247.4</v>
      </c>
      <c r="P75" s="82">
        <v>140158.9</v>
      </c>
      <c r="Q75" s="82">
        <v>1345.4</v>
      </c>
      <c r="R75" s="82">
        <v>109287.15</v>
      </c>
      <c r="S75" s="82">
        <v>0</v>
      </c>
      <c r="T75" s="15"/>
      <c r="U75" s="82">
        <v>0</v>
      </c>
      <c r="V75" s="82">
        <v>0</v>
      </c>
      <c r="W75" s="82">
        <v>0</v>
      </c>
      <c r="X75" s="82">
        <v>0</v>
      </c>
      <c r="Y75" s="82">
        <v>0</v>
      </c>
    </row>
    <row r="76" spans="1:25" ht="14.25">
      <c r="A76" s="17">
        <f t="shared" si="0"/>
        <v>60</v>
      </c>
      <c r="B76" s="5" t="s">
        <v>56</v>
      </c>
      <c r="C76" s="15">
        <f t="shared" si="3"/>
        <v>6778.240000000049</v>
      </c>
      <c r="D76" s="15">
        <f t="shared" si="4"/>
        <v>2331.240000000049</v>
      </c>
      <c r="E76" s="15"/>
      <c r="F76" s="15"/>
      <c r="G76" s="15">
        <f t="shared" si="7"/>
        <v>4555</v>
      </c>
      <c r="H76" s="15"/>
      <c r="I76" s="15">
        <f t="shared" si="8"/>
        <v>980</v>
      </c>
      <c r="J76" s="15">
        <f t="shared" si="8"/>
        <v>10.5</v>
      </c>
      <c r="K76" s="15">
        <f t="shared" si="8"/>
        <v>1696.1500000000233</v>
      </c>
      <c r="L76" s="15">
        <f t="shared" si="8"/>
        <v>1868.0900000000256</v>
      </c>
      <c r="M76" s="15">
        <f t="shared" si="8"/>
        <v>0</v>
      </c>
      <c r="N76" s="15"/>
      <c r="O76" s="82">
        <f>232234-230776</f>
        <v>1458</v>
      </c>
      <c r="P76" s="82">
        <f>1751-1735</f>
        <v>16</v>
      </c>
      <c r="Q76" s="82">
        <f>402062.15-399538</f>
        <v>2524.1500000000233</v>
      </c>
      <c r="R76" s="82">
        <f>442899.09-440119</f>
        <v>2780.0900000000256</v>
      </c>
      <c r="S76" s="82">
        <v>0</v>
      </c>
      <c r="T76" s="15"/>
      <c r="U76" s="82">
        <v>502</v>
      </c>
      <c r="V76" s="82">
        <v>5</v>
      </c>
      <c r="W76" s="82">
        <v>868.1500000000233</v>
      </c>
      <c r="X76" s="82">
        <v>956.0900000000256</v>
      </c>
      <c r="Y76" s="82">
        <v>0</v>
      </c>
    </row>
    <row r="77" spans="1:25" ht="14.25">
      <c r="A77" s="17">
        <f t="shared" si="0"/>
        <v>61</v>
      </c>
      <c r="B77" s="5" t="s">
        <v>252</v>
      </c>
      <c r="C77" s="15">
        <f t="shared" si="3"/>
        <v>0</v>
      </c>
      <c r="D77" s="15">
        <f t="shared" si="4"/>
        <v>0</v>
      </c>
      <c r="E77" s="15"/>
      <c r="F77" s="15"/>
      <c r="G77" s="15">
        <f t="shared" si="7"/>
        <v>0</v>
      </c>
      <c r="H77" s="15"/>
      <c r="I77" s="15">
        <f t="shared" si="8"/>
        <v>0</v>
      </c>
      <c r="J77" s="15">
        <f t="shared" si="8"/>
        <v>0</v>
      </c>
      <c r="K77" s="15">
        <f t="shared" si="8"/>
        <v>0</v>
      </c>
      <c r="L77" s="15">
        <f t="shared" si="8"/>
        <v>0</v>
      </c>
      <c r="M77" s="15">
        <f t="shared" si="8"/>
        <v>0</v>
      </c>
      <c r="N77" s="15"/>
      <c r="O77" s="82">
        <v>0</v>
      </c>
      <c r="P77" s="82">
        <f>2811861-2811861</f>
        <v>0</v>
      </c>
      <c r="Q77" s="82">
        <v>0</v>
      </c>
      <c r="R77" s="82">
        <v>0</v>
      </c>
      <c r="S77" s="82">
        <v>0</v>
      </c>
      <c r="T77" s="15"/>
      <c r="U77" s="82">
        <v>0</v>
      </c>
      <c r="V77" s="82">
        <v>0</v>
      </c>
      <c r="W77" s="82">
        <v>0</v>
      </c>
      <c r="X77" s="82">
        <v>0</v>
      </c>
      <c r="Y77" s="82">
        <v>0</v>
      </c>
    </row>
    <row r="78" spans="1:25" ht="14.25">
      <c r="A78" s="17">
        <f t="shared" si="0"/>
        <v>62</v>
      </c>
      <c r="B78" s="5" t="s">
        <v>253</v>
      </c>
      <c r="C78" s="15">
        <f t="shared" si="3"/>
        <v>3875559</v>
      </c>
      <c r="D78" s="15">
        <f t="shared" si="4"/>
        <v>3513024</v>
      </c>
      <c r="E78" s="15"/>
      <c r="F78" s="15"/>
      <c r="G78" s="15">
        <f t="shared" si="7"/>
        <v>3694292</v>
      </c>
      <c r="H78" s="15"/>
      <c r="I78" s="15">
        <f t="shared" si="8"/>
        <v>0</v>
      </c>
      <c r="J78" s="15">
        <f t="shared" si="8"/>
        <v>3694291.5</v>
      </c>
      <c r="K78" s="15">
        <f t="shared" si="8"/>
        <v>0</v>
      </c>
      <c r="L78" s="15">
        <f t="shared" si="8"/>
        <v>0</v>
      </c>
      <c r="M78" s="15">
        <f t="shared" si="8"/>
        <v>0</v>
      </c>
      <c r="N78" s="15"/>
      <c r="O78" s="82">
        <v>0</v>
      </c>
      <c r="P78" s="82">
        <f>9063358-5187799</f>
        <v>3875559</v>
      </c>
      <c r="Q78" s="82">
        <v>0</v>
      </c>
      <c r="R78" s="82">
        <v>0</v>
      </c>
      <c r="S78" s="82">
        <v>0</v>
      </c>
      <c r="T78" s="15"/>
      <c r="U78" s="82">
        <v>0</v>
      </c>
      <c r="V78" s="82">
        <v>3513024</v>
      </c>
      <c r="W78" s="82">
        <v>0</v>
      </c>
      <c r="X78" s="82">
        <v>0</v>
      </c>
      <c r="Y78" s="82">
        <v>0</v>
      </c>
    </row>
    <row r="79" spans="1:25" ht="14.25">
      <c r="A79" s="17">
        <f t="shared" si="0"/>
        <v>63</v>
      </c>
      <c r="B79" s="5" t="s">
        <v>32</v>
      </c>
      <c r="C79" s="81">
        <v>341650.48</v>
      </c>
      <c r="D79" s="81">
        <v>817867.62</v>
      </c>
      <c r="E79" s="15">
        <f aca="true" t="shared" si="9" ref="E79:F81">-C79</f>
        <v>-341650.48</v>
      </c>
      <c r="F79" s="15">
        <f t="shared" si="9"/>
        <v>-817867.62</v>
      </c>
      <c r="G79" s="15">
        <f t="shared" si="7"/>
        <v>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4.25">
      <c r="A80" s="17">
        <f t="shared" si="0"/>
        <v>64</v>
      </c>
      <c r="B80" s="5" t="s">
        <v>63</v>
      </c>
      <c r="C80" s="81">
        <v>87046718</v>
      </c>
      <c r="D80" s="81">
        <v>88062043.15</v>
      </c>
      <c r="E80" s="15">
        <f t="shared" si="9"/>
        <v>-87046718</v>
      </c>
      <c r="F80" s="15">
        <f t="shared" si="9"/>
        <v>-88062043.15</v>
      </c>
      <c r="G80" s="15">
        <f t="shared" si="7"/>
        <v>0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4.25">
      <c r="A81" s="17">
        <f t="shared" si="0"/>
        <v>65</v>
      </c>
      <c r="B81" s="5" t="s">
        <v>64</v>
      </c>
      <c r="C81" s="81">
        <v>-2271529</v>
      </c>
      <c r="D81" s="81">
        <v>-1953844</v>
      </c>
      <c r="E81" s="15">
        <f t="shared" si="9"/>
        <v>2271529</v>
      </c>
      <c r="F81" s="15">
        <f t="shared" si="9"/>
        <v>1953844</v>
      </c>
      <c r="G81" s="15">
        <f t="shared" si="7"/>
        <v>0</v>
      </c>
      <c r="H81" s="15"/>
      <c r="I81" s="15"/>
      <c r="J81" s="15"/>
      <c r="K81" s="15"/>
      <c r="L81" s="15"/>
      <c r="M81" s="15"/>
      <c r="N81" s="15"/>
      <c r="O81" s="20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4.25">
      <c r="A82" s="17">
        <f aca="true" t="shared" si="10" ref="A82:A145">A81+1</f>
        <v>66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5" thickBot="1">
      <c r="A83" s="17">
        <f t="shared" si="10"/>
        <v>67</v>
      </c>
      <c r="B83" s="5" t="s">
        <v>65</v>
      </c>
      <c r="C83" s="18">
        <f>SUM(C28:C82)</f>
        <v>1085021769.2400005</v>
      </c>
      <c r="D83" s="18">
        <f>SUM(D28:D82)</f>
        <v>1173328825.2900002</v>
      </c>
      <c r="E83" s="18">
        <f>SUM(E28:E82)</f>
        <v>-85116839.48</v>
      </c>
      <c r="F83" s="18">
        <f>SUM(F28:F82)</f>
        <v>-86926066.77000001</v>
      </c>
      <c r="G83" s="18">
        <f>SUM(G28:G82)</f>
        <v>1043153848</v>
      </c>
      <c r="H83" s="18"/>
      <c r="I83" s="18">
        <f>SUM(I28:I82)</f>
        <v>169064026.16</v>
      </c>
      <c r="J83" s="18">
        <f>SUM(J28:J82)</f>
        <v>471973620.385</v>
      </c>
      <c r="K83" s="18">
        <f>SUM(K28:K82)</f>
        <v>167484008.07499996</v>
      </c>
      <c r="L83" s="18">
        <f>SUM(L28:L82)</f>
        <v>234632189.51999995</v>
      </c>
      <c r="M83" s="18">
        <f>SUM(M28:M82)</f>
        <v>0</v>
      </c>
      <c r="N83" s="18"/>
      <c r="O83" s="18">
        <f>SUM(O28:O82)</f>
        <v>167427536.44</v>
      </c>
      <c r="P83" s="18">
        <f>SUM(P28:P82)</f>
        <v>443868988.75999993</v>
      </c>
      <c r="Q83" s="18">
        <f>SUM(Q28:Q82)</f>
        <v>161692898.04999998</v>
      </c>
      <c r="R83" s="18">
        <f>SUM(R28:R82)</f>
        <v>226915506.51000002</v>
      </c>
      <c r="S83" s="18">
        <f>SUM(S28:S82)</f>
        <v>0</v>
      </c>
      <c r="T83" s="15"/>
      <c r="U83" s="18">
        <f>SUM(U28:U82)</f>
        <v>170700515.88000003</v>
      </c>
      <c r="V83" s="18">
        <f>SUM(V28:V82)</f>
        <v>500078252.01</v>
      </c>
      <c r="W83" s="18">
        <f>SUM(W28:W82)</f>
        <v>173275118.1</v>
      </c>
      <c r="X83" s="18">
        <f>SUM(X28:X82)</f>
        <v>242348872.53</v>
      </c>
      <c r="Y83" s="18">
        <f>SUM(Y28:Y82)</f>
        <v>0</v>
      </c>
    </row>
    <row r="84" spans="1:25" ht="15" thickTop="1">
      <c r="A84" s="17">
        <f t="shared" si="10"/>
        <v>68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5"/>
      <c r="U84" s="19"/>
      <c r="V84" s="19"/>
      <c r="W84" s="19"/>
      <c r="X84" s="19"/>
      <c r="Y84" s="19"/>
    </row>
    <row r="85" spans="1:25" ht="14.25">
      <c r="A85" s="17">
        <f t="shared" si="10"/>
        <v>69</v>
      </c>
      <c r="B85" s="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4.25">
      <c r="A86" s="17">
        <f t="shared" si="10"/>
        <v>70</v>
      </c>
      <c r="B86" s="14" t="s">
        <v>66</v>
      </c>
      <c r="C86" s="15" t="s">
        <v>67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4.25">
      <c r="A87" s="17">
        <f t="shared" si="10"/>
        <v>71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4.25">
      <c r="A88" s="17">
        <f t="shared" si="10"/>
        <v>72</v>
      </c>
      <c r="B88" s="5" t="s">
        <v>254</v>
      </c>
      <c r="C88" s="15">
        <f aca="true" t="shared" si="11" ref="C88:C108">SUM(O88:S88)</f>
        <v>1190290.15</v>
      </c>
      <c r="D88" s="15">
        <f aca="true" t="shared" si="12" ref="D88:D134">SUM(U88:Y88)</f>
        <v>1377.25</v>
      </c>
      <c r="E88" s="15"/>
      <c r="F88" s="15"/>
      <c r="G88" s="15">
        <f aca="true" t="shared" si="13" ref="G88:G134">ROUND(SUM(C88:F88)/2,0)</f>
        <v>595834</v>
      </c>
      <c r="H88" s="15"/>
      <c r="I88" s="15">
        <f aca="true" t="shared" si="14" ref="I88:M119">(+O88+U88)/2</f>
        <v>595833.7</v>
      </c>
      <c r="J88" s="15">
        <f t="shared" si="14"/>
        <v>0</v>
      </c>
      <c r="K88" s="15">
        <f t="shared" si="14"/>
        <v>0</v>
      </c>
      <c r="L88" s="15">
        <f t="shared" si="14"/>
        <v>0</v>
      </c>
      <c r="M88" s="15">
        <f t="shared" si="14"/>
        <v>0</v>
      </c>
      <c r="N88" s="15"/>
      <c r="O88" s="82">
        <v>1190290.15</v>
      </c>
      <c r="P88" s="82">
        <v>0</v>
      </c>
      <c r="Q88" s="82">
        <v>0</v>
      </c>
      <c r="R88" s="82">
        <v>0</v>
      </c>
      <c r="S88" s="82">
        <v>0</v>
      </c>
      <c r="T88" s="15"/>
      <c r="U88" s="82">
        <v>1377.25</v>
      </c>
      <c r="V88" s="82">
        <v>0</v>
      </c>
      <c r="W88" s="82">
        <v>0</v>
      </c>
      <c r="X88" s="82">
        <v>0</v>
      </c>
      <c r="Y88" s="82">
        <v>0</v>
      </c>
    </row>
    <row r="89" spans="1:25" ht="14.25">
      <c r="A89" s="17">
        <f t="shared" si="10"/>
        <v>73</v>
      </c>
      <c r="B89" s="5" t="s">
        <v>255</v>
      </c>
      <c r="C89" s="15">
        <f t="shared" si="11"/>
        <v>-605409.22</v>
      </c>
      <c r="D89" s="15">
        <f t="shared" si="12"/>
        <v>374606.13</v>
      </c>
      <c r="E89" s="15"/>
      <c r="F89" s="15"/>
      <c r="G89" s="15">
        <f t="shared" si="13"/>
        <v>-115402</v>
      </c>
      <c r="H89" s="15"/>
      <c r="I89" s="15">
        <f t="shared" si="14"/>
        <v>-115401.54499999998</v>
      </c>
      <c r="J89" s="15">
        <f t="shared" si="14"/>
        <v>0</v>
      </c>
      <c r="K89" s="15">
        <f t="shared" si="14"/>
        <v>0</v>
      </c>
      <c r="L89" s="15">
        <f t="shared" si="14"/>
        <v>0</v>
      </c>
      <c r="M89" s="15">
        <f t="shared" si="14"/>
        <v>0</v>
      </c>
      <c r="N89" s="15"/>
      <c r="O89" s="82">
        <v>-605409.22</v>
      </c>
      <c r="P89" s="82">
        <v>0</v>
      </c>
      <c r="Q89" s="82">
        <v>0</v>
      </c>
      <c r="R89" s="82">
        <v>0</v>
      </c>
      <c r="S89" s="82">
        <v>0</v>
      </c>
      <c r="T89" s="15"/>
      <c r="U89" s="82">
        <v>374606.13</v>
      </c>
      <c r="V89" s="82">
        <v>0</v>
      </c>
      <c r="W89" s="82">
        <v>0</v>
      </c>
      <c r="X89" s="82">
        <v>0</v>
      </c>
      <c r="Y89" s="82">
        <v>0</v>
      </c>
    </row>
    <row r="90" spans="1:25" ht="14.25">
      <c r="A90" s="17">
        <f t="shared" si="10"/>
        <v>74</v>
      </c>
      <c r="B90" s="5" t="s">
        <v>256</v>
      </c>
      <c r="C90" s="15">
        <f t="shared" si="11"/>
        <v>0</v>
      </c>
      <c r="D90" s="15">
        <f t="shared" si="12"/>
        <v>0</v>
      </c>
      <c r="E90" s="15"/>
      <c r="F90" s="15"/>
      <c r="G90" s="15">
        <f t="shared" si="13"/>
        <v>0</v>
      </c>
      <c r="H90" s="15"/>
      <c r="I90" s="15">
        <f t="shared" si="14"/>
        <v>0</v>
      </c>
      <c r="J90" s="15">
        <f t="shared" si="14"/>
        <v>0</v>
      </c>
      <c r="K90" s="15">
        <f t="shared" si="14"/>
        <v>0</v>
      </c>
      <c r="L90" s="15">
        <f t="shared" si="14"/>
        <v>0</v>
      </c>
      <c r="M90" s="15">
        <f t="shared" si="14"/>
        <v>0</v>
      </c>
      <c r="N90" s="15"/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15"/>
      <c r="U90" s="82">
        <v>0</v>
      </c>
      <c r="V90" s="82">
        <v>0</v>
      </c>
      <c r="W90" s="82">
        <v>0</v>
      </c>
      <c r="X90" s="82">
        <v>0</v>
      </c>
      <c r="Y90" s="82">
        <v>0</v>
      </c>
    </row>
    <row r="91" spans="1:25" ht="14.25">
      <c r="A91" s="17">
        <f t="shared" si="10"/>
        <v>75</v>
      </c>
      <c r="B91" s="14" t="s">
        <v>257</v>
      </c>
      <c r="C91" s="15">
        <f t="shared" si="11"/>
        <v>0</v>
      </c>
      <c r="D91" s="15">
        <f t="shared" si="12"/>
        <v>0</v>
      </c>
      <c r="E91" s="15"/>
      <c r="F91" s="15"/>
      <c r="G91" s="15">
        <f t="shared" si="13"/>
        <v>0</v>
      </c>
      <c r="H91" s="15"/>
      <c r="I91" s="15">
        <f t="shared" si="14"/>
        <v>0</v>
      </c>
      <c r="J91" s="15">
        <f t="shared" si="14"/>
        <v>0</v>
      </c>
      <c r="K91" s="15">
        <f t="shared" si="14"/>
        <v>0</v>
      </c>
      <c r="L91" s="15">
        <f t="shared" si="14"/>
        <v>0</v>
      </c>
      <c r="M91" s="15">
        <f t="shared" si="14"/>
        <v>0</v>
      </c>
      <c r="N91" s="15"/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15"/>
      <c r="U91" s="82">
        <v>0</v>
      </c>
      <c r="V91" s="82">
        <v>0</v>
      </c>
      <c r="W91" s="82">
        <v>0</v>
      </c>
      <c r="X91" s="82">
        <v>0</v>
      </c>
      <c r="Y91" s="82">
        <v>0</v>
      </c>
    </row>
    <row r="92" spans="1:25" ht="14.25">
      <c r="A92" s="17">
        <f t="shared" si="10"/>
        <v>76</v>
      </c>
      <c r="B92" s="5" t="s">
        <v>258</v>
      </c>
      <c r="C92" s="15">
        <f t="shared" si="11"/>
        <v>271198.06</v>
      </c>
      <c r="D92" s="15">
        <f t="shared" si="12"/>
        <v>270681.64</v>
      </c>
      <c r="E92" s="15"/>
      <c r="F92" s="15"/>
      <c r="G92" s="15">
        <f t="shared" si="13"/>
        <v>270940</v>
      </c>
      <c r="H92" s="15"/>
      <c r="I92" s="15">
        <f t="shared" si="14"/>
        <v>270939.85</v>
      </c>
      <c r="J92" s="15">
        <f t="shared" si="14"/>
        <v>0</v>
      </c>
      <c r="K92" s="15">
        <f t="shared" si="14"/>
        <v>0</v>
      </c>
      <c r="L92" s="15">
        <f t="shared" si="14"/>
        <v>0</v>
      </c>
      <c r="M92" s="15">
        <f t="shared" si="14"/>
        <v>0</v>
      </c>
      <c r="N92" s="15"/>
      <c r="O92" s="82">
        <v>271198.06</v>
      </c>
      <c r="P92" s="82">
        <v>0</v>
      </c>
      <c r="Q92" s="82">
        <v>0</v>
      </c>
      <c r="R92" s="82">
        <v>0</v>
      </c>
      <c r="S92" s="82">
        <v>0</v>
      </c>
      <c r="T92" s="15"/>
      <c r="U92" s="82">
        <v>270681.64</v>
      </c>
      <c r="V92" s="82">
        <v>0</v>
      </c>
      <c r="W92" s="82">
        <v>0</v>
      </c>
      <c r="X92" s="82">
        <v>0</v>
      </c>
      <c r="Y92" s="82">
        <v>0</v>
      </c>
    </row>
    <row r="93" spans="1:25" ht="14.25">
      <c r="A93" s="17">
        <f t="shared" si="10"/>
        <v>77</v>
      </c>
      <c r="B93" s="5" t="s">
        <v>259</v>
      </c>
      <c r="C93" s="15">
        <f t="shared" si="11"/>
        <v>226118.29</v>
      </c>
      <c r="D93" s="15">
        <f t="shared" si="12"/>
        <v>24424.77</v>
      </c>
      <c r="E93" s="15"/>
      <c r="F93" s="15"/>
      <c r="G93" s="15">
        <f t="shared" si="13"/>
        <v>125272</v>
      </c>
      <c r="H93" s="15"/>
      <c r="I93" s="15">
        <f t="shared" si="14"/>
        <v>125271.53</v>
      </c>
      <c r="J93" s="15">
        <f t="shared" si="14"/>
        <v>0</v>
      </c>
      <c r="K93" s="15">
        <f t="shared" si="14"/>
        <v>0</v>
      </c>
      <c r="L93" s="15">
        <f t="shared" si="14"/>
        <v>0</v>
      </c>
      <c r="M93" s="15">
        <f t="shared" si="14"/>
        <v>0</v>
      </c>
      <c r="N93" s="15"/>
      <c r="O93" s="82">
        <v>226118.29</v>
      </c>
      <c r="P93" s="82">
        <v>0</v>
      </c>
      <c r="Q93" s="82">
        <v>0</v>
      </c>
      <c r="R93" s="82">
        <v>0</v>
      </c>
      <c r="S93" s="82">
        <v>0</v>
      </c>
      <c r="T93" s="15"/>
      <c r="U93" s="82">
        <v>24424.77</v>
      </c>
      <c r="V93" s="82">
        <v>0</v>
      </c>
      <c r="W93" s="82">
        <v>0</v>
      </c>
      <c r="X93" s="82">
        <v>0</v>
      </c>
      <c r="Y93" s="82">
        <v>0</v>
      </c>
    </row>
    <row r="94" spans="1:25" ht="14.25">
      <c r="A94" s="17">
        <f t="shared" si="10"/>
        <v>78</v>
      </c>
      <c r="B94" s="5" t="s">
        <v>76</v>
      </c>
      <c r="C94" s="15">
        <f t="shared" si="11"/>
        <v>7155727.6</v>
      </c>
      <c r="D94" s="15">
        <f t="shared" si="12"/>
        <v>9296471.45</v>
      </c>
      <c r="E94" s="15"/>
      <c r="F94" s="15"/>
      <c r="G94" s="15">
        <f t="shared" si="13"/>
        <v>8226100</v>
      </c>
      <c r="H94" s="15"/>
      <c r="I94" s="15">
        <f t="shared" si="14"/>
        <v>8226099.524999999</v>
      </c>
      <c r="J94" s="15">
        <f t="shared" si="14"/>
        <v>0</v>
      </c>
      <c r="K94" s="15">
        <f t="shared" si="14"/>
        <v>0</v>
      </c>
      <c r="L94" s="15">
        <f t="shared" si="14"/>
        <v>0</v>
      </c>
      <c r="M94" s="15">
        <f t="shared" si="14"/>
        <v>0</v>
      </c>
      <c r="N94" s="15"/>
      <c r="O94" s="82">
        <v>7155727.6</v>
      </c>
      <c r="P94" s="82">
        <v>0</v>
      </c>
      <c r="Q94" s="82">
        <v>0</v>
      </c>
      <c r="R94" s="82">
        <v>0</v>
      </c>
      <c r="S94" s="82">
        <v>0</v>
      </c>
      <c r="T94" s="15"/>
      <c r="U94" s="82">
        <v>9296471.45</v>
      </c>
      <c r="V94" s="82">
        <v>0</v>
      </c>
      <c r="W94" s="82">
        <v>0</v>
      </c>
      <c r="X94" s="82">
        <v>0</v>
      </c>
      <c r="Y94" s="82">
        <v>0</v>
      </c>
    </row>
    <row r="95" spans="1:25" ht="14.25">
      <c r="A95" s="17">
        <f t="shared" si="10"/>
        <v>79</v>
      </c>
      <c r="B95" s="14" t="s">
        <v>260</v>
      </c>
      <c r="C95" s="15">
        <f t="shared" si="11"/>
        <v>-430760.05</v>
      </c>
      <c r="D95" s="15">
        <f t="shared" si="12"/>
        <v>-460765.2</v>
      </c>
      <c r="E95" s="15"/>
      <c r="F95" s="15"/>
      <c r="G95" s="15">
        <f t="shared" si="13"/>
        <v>-445763</v>
      </c>
      <c r="H95" s="15"/>
      <c r="I95" s="15">
        <f t="shared" si="14"/>
        <v>-445762.625</v>
      </c>
      <c r="J95" s="15">
        <f t="shared" si="14"/>
        <v>0</v>
      </c>
      <c r="K95" s="15">
        <f t="shared" si="14"/>
        <v>0</v>
      </c>
      <c r="L95" s="15">
        <f t="shared" si="14"/>
        <v>0</v>
      </c>
      <c r="M95" s="15">
        <f t="shared" si="14"/>
        <v>0</v>
      </c>
      <c r="N95" s="15"/>
      <c r="O95" s="82">
        <v>-430760.05</v>
      </c>
      <c r="P95" s="82">
        <v>0</v>
      </c>
      <c r="Q95" s="82">
        <v>0</v>
      </c>
      <c r="R95" s="82">
        <v>0</v>
      </c>
      <c r="S95" s="82">
        <v>0</v>
      </c>
      <c r="T95" s="15"/>
      <c r="U95" s="82">
        <v>-460765.2</v>
      </c>
      <c r="V95" s="82">
        <v>0</v>
      </c>
      <c r="W95" s="82">
        <v>0</v>
      </c>
      <c r="X95" s="82">
        <v>0</v>
      </c>
      <c r="Y95" s="82">
        <v>0</v>
      </c>
    </row>
    <row r="96" spans="1:25" ht="14.25">
      <c r="A96" s="17">
        <f t="shared" si="10"/>
        <v>80</v>
      </c>
      <c r="B96" s="5" t="s">
        <v>261</v>
      </c>
      <c r="C96" s="15">
        <f t="shared" si="11"/>
        <v>0</v>
      </c>
      <c r="D96" s="15">
        <f t="shared" si="12"/>
        <v>0</v>
      </c>
      <c r="E96" s="15"/>
      <c r="F96" s="15"/>
      <c r="G96" s="15">
        <f t="shared" si="13"/>
        <v>0</v>
      </c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  <c r="L96" s="15">
        <f t="shared" si="14"/>
        <v>0</v>
      </c>
      <c r="M96" s="15">
        <f t="shared" si="14"/>
        <v>0</v>
      </c>
      <c r="N96" s="15"/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15"/>
      <c r="U96" s="82">
        <v>0</v>
      </c>
      <c r="V96" s="82">
        <v>0</v>
      </c>
      <c r="W96" s="82">
        <v>0</v>
      </c>
      <c r="X96" s="82">
        <v>0</v>
      </c>
      <c r="Y96" s="82">
        <v>0</v>
      </c>
    </row>
    <row r="97" spans="1:25" ht="14.25">
      <c r="A97" s="17">
        <f t="shared" si="10"/>
        <v>81</v>
      </c>
      <c r="B97" s="14" t="s">
        <v>262</v>
      </c>
      <c r="C97" s="15">
        <f t="shared" si="11"/>
        <v>197155.76</v>
      </c>
      <c r="D97" s="15">
        <f t="shared" si="12"/>
        <v>53337.16</v>
      </c>
      <c r="E97" s="15"/>
      <c r="F97" s="15"/>
      <c r="G97" s="15">
        <f t="shared" si="13"/>
        <v>125246</v>
      </c>
      <c r="H97" s="15"/>
      <c r="I97" s="15">
        <f t="shared" si="14"/>
        <v>125246.46</v>
      </c>
      <c r="J97" s="15">
        <f t="shared" si="14"/>
        <v>0</v>
      </c>
      <c r="K97" s="15">
        <f t="shared" si="14"/>
        <v>0</v>
      </c>
      <c r="L97" s="15">
        <f t="shared" si="14"/>
        <v>0</v>
      </c>
      <c r="M97" s="15">
        <f t="shared" si="14"/>
        <v>0</v>
      </c>
      <c r="N97" s="15"/>
      <c r="O97" s="82">
        <v>197155.76</v>
      </c>
      <c r="P97" s="82">
        <v>0</v>
      </c>
      <c r="Q97" s="82">
        <v>0</v>
      </c>
      <c r="R97" s="82">
        <v>0</v>
      </c>
      <c r="S97" s="82">
        <v>0</v>
      </c>
      <c r="T97" s="15"/>
      <c r="U97" s="82">
        <v>53337.16</v>
      </c>
      <c r="V97" s="82">
        <v>0</v>
      </c>
      <c r="W97" s="82">
        <v>0</v>
      </c>
      <c r="X97" s="82">
        <v>0</v>
      </c>
      <c r="Y97" s="82">
        <v>0</v>
      </c>
    </row>
    <row r="98" spans="1:25" ht="14.25">
      <c r="A98" s="17">
        <f t="shared" si="10"/>
        <v>82</v>
      </c>
      <c r="B98" s="14" t="s">
        <v>263</v>
      </c>
      <c r="C98" s="15">
        <f t="shared" si="11"/>
        <v>761763.85</v>
      </c>
      <c r="D98" s="15">
        <f t="shared" si="12"/>
        <v>503996.83</v>
      </c>
      <c r="E98" s="15"/>
      <c r="F98" s="15"/>
      <c r="G98" s="15">
        <f t="shared" si="13"/>
        <v>632880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632880.34</v>
      </c>
      <c r="L98" s="15">
        <f t="shared" si="14"/>
        <v>0</v>
      </c>
      <c r="M98" s="15">
        <f t="shared" si="14"/>
        <v>0</v>
      </c>
      <c r="N98" s="15"/>
      <c r="O98" s="82">
        <v>0</v>
      </c>
      <c r="P98" s="82">
        <v>0</v>
      </c>
      <c r="Q98" s="82">
        <v>761763.85</v>
      </c>
      <c r="R98" s="82">
        <v>0</v>
      </c>
      <c r="S98" s="82">
        <v>0</v>
      </c>
      <c r="T98" s="15"/>
      <c r="U98" s="82">
        <v>0</v>
      </c>
      <c r="V98" s="82">
        <v>0</v>
      </c>
      <c r="W98" s="82">
        <v>503996.83</v>
      </c>
      <c r="X98" s="82">
        <v>0</v>
      </c>
      <c r="Y98" s="82">
        <v>0</v>
      </c>
    </row>
    <row r="99" spans="1:25" ht="14.25">
      <c r="A99" s="17">
        <f t="shared" si="10"/>
        <v>83</v>
      </c>
      <c r="B99" s="14" t="s">
        <v>264</v>
      </c>
      <c r="C99" s="15">
        <f t="shared" si="11"/>
        <v>3633846.9</v>
      </c>
      <c r="D99" s="15">
        <f t="shared" si="12"/>
        <v>3313740.12</v>
      </c>
      <c r="E99" s="15"/>
      <c r="F99" s="15"/>
      <c r="G99" s="15">
        <f t="shared" si="13"/>
        <v>3473794</v>
      </c>
      <c r="H99" s="15"/>
      <c r="I99" s="15">
        <f t="shared" si="14"/>
        <v>0</v>
      </c>
      <c r="J99" s="15">
        <f t="shared" si="14"/>
        <v>0</v>
      </c>
      <c r="K99" s="15">
        <f t="shared" si="14"/>
        <v>0</v>
      </c>
      <c r="L99" s="15">
        <f t="shared" si="14"/>
        <v>3473793.51</v>
      </c>
      <c r="M99" s="15">
        <f t="shared" si="14"/>
        <v>0</v>
      </c>
      <c r="N99" s="15"/>
      <c r="O99" s="82">
        <v>0</v>
      </c>
      <c r="P99" s="82">
        <v>0</v>
      </c>
      <c r="Q99" s="82">
        <v>0</v>
      </c>
      <c r="R99" s="82">
        <v>3633846.9</v>
      </c>
      <c r="S99" s="82">
        <v>0</v>
      </c>
      <c r="T99" s="15"/>
      <c r="U99" s="82">
        <v>0</v>
      </c>
      <c r="V99" s="82">
        <v>0</v>
      </c>
      <c r="W99" s="82">
        <v>0</v>
      </c>
      <c r="X99" s="82">
        <v>3313740.12</v>
      </c>
      <c r="Y99" s="82">
        <v>0</v>
      </c>
    </row>
    <row r="100" spans="1:25" ht="14.25">
      <c r="A100" s="17">
        <f t="shared" si="10"/>
        <v>84</v>
      </c>
      <c r="B100" s="14" t="s">
        <v>82</v>
      </c>
      <c r="C100" s="15">
        <f>SUM(O100:S100)</f>
        <v>642645.48</v>
      </c>
      <c r="D100" s="15">
        <f>SUM(U100:Y100)</f>
        <v>375990.01</v>
      </c>
      <c r="E100" s="15"/>
      <c r="F100" s="15"/>
      <c r="G100" s="15">
        <f t="shared" si="13"/>
        <v>509318</v>
      </c>
      <c r="H100" s="15"/>
      <c r="I100" s="15">
        <f t="shared" si="14"/>
        <v>0</v>
      </c>
      <c r="J100" s="15">
        <f t="shared" si="14"/>
        <v>0</v>
      </c>
      <c r="K100" s="15">
        <f t="shared" si="14"/>
        <v>0</v>
      </c>
      <c r="L100" s="15">
        <f t="shared" si="14"/>
        <v>509317.745</v>
      </c>
      <c r="M100" s="15">
        <f t="shared" si="14"/>
        <v>0</v>
      </c>
      <c r="N100" s="15"/>
      <c r="O100" s="82">
        <v>0</v>
      </c>
      <c r="P100" s="82">
        <v>0</v>
      </c>
      <c r="Q100" s="82">
        <v>0</v>
      </c>
      <c r="R100" s="82">
        <v>642645.48</v>
      </c>
      <c r="S100" s="82">
        <v>0</v>
      </c>
      <c r="T100" s="15"/>
      <c r="U100" s="82">
        <v>0</v>
      </c>
      <c r="V100" s="82">
        <v>0</v>
      </c>
      <c r="W100" s="82">
        <v>0</v>
      </c>
      <c r="X100" s="82">
        <v>375990.01</v>
      </c>
      <c r="Y100" s="82">
        <v>0</v>
      </c>
    </row>
    <row r="101" spans="1:25" ht="14.25">
      <c r="A101" s="17">
        <f t="shared" si="10"/>
        <v>85</v>
      </c>
      <c r="B101" s="14" t="s">
        <v>265</v>
      </c>
      <c r="C101" s="15">
        <f t="shared" si="11"/>
        <v>216579.31</v>
      </c>
      <c r="D101" s="15">
        <f t="shared" si="12"/>
        <v>100053.97</v>
      </c>
      <c r="E101" s="15"/>
      <c r="F101" s="15"/>
      <c r="G101" s="15">
        <f t="shared" si="13"/>
        <v>158317</v>
      </c>
      <c r="H101" s="15"/>
      <c r="I101" s="15">
        <f t="shared" si="14"/>
        <v>-27638.46</v>
      </c>
      <c r="J101" s="15">
        <f t="shared" si="14"/>
        <v>1547.18</v>
      </c>
      <c r="K101" s="15">
        <f t="shared" si="14"/>
        <v>1554.1200000000001</v>
      </c>
      <c r="L101" s="15">
        <f t="shared" si="14"/>
        <v>182853.8</v>
      </c>
      <c r="M101" s="15">
        <f t="shared" si="14"/>
        <v>0</v>
      </c>
      <c r="N101" s="15"/>
      <c r="O101" s="82">
        <v>-26864.44</v>
      </c>
      <c r="P101" s="82">
        <v>2665.86</v>
      </c>
      <c r="Q101" s="82">
        <v>2325.65</v>
      </c>
      <c r="R101" s="82">
        <v>238452.24</v>
      </c>
      <c r="S101" s="82">
        <v>0</v>
      </c>
      <c r="T101" s="15"/>
      <c r="U101" s="82">
        <v>-28412.48</v>
      </c>
      <c r="V101" s="82">
        <v>428.5</v>
      </c>
      <c r="W101" s="82">
        <v>782.59</v>
      </c>
      <c r="X101" s="82">
        <v>127255.36</v>
      </c>
      <c r="Y101" s="82">
        <v>0</v>
      </c>
    </row>
    <row r="102" spans="1:25" ht="14.25">
      <c r="A102" s="17">
        <f t="shared" si="10"/>
        <v>86</v>
      </c>
      <c r="B102" s="14" t="s">
        <v>266</v>
      </c>
      <c r="C102" s="15">
        <f t="shared" si="11"/>
        <v>321090.05</v>
      </c>
      <c r="D102" s="15">
        <f t="shared" si="12"/>
        <v>0.05</v>
      </c>
      <c r="E102" s="15"/>
      <c r="F102" s="15"/>
      <c r="G102" s="15">
        <f t="shared" si="13"/>
        <v>160545</v>
      </c>
      <c r="H102" s="15"/>
      <c r="I102" s="15">
        <f t="shared" si="14"/>
        <v>133831.25</v>
      </c>
      <c r="J102" s="15">
        <f t="shared" si="14"/>
        <v>0</v>
      </c>
      <c r="K102" s="15">
        <f t="shared" si="14"/>
        <v>26713.75</v>
      </c>
      <c r="L102" s="15">
        <f t="shared" si="14"/>
        <v>0.05</v>
      </c>
      <c r="M102" s="15">
        <f t="shared" si="14"/>
        <v>0</v>
      </c>
      <c r="N102" s="15"/>
      <c r="O102" s="82">
        <v>267662.5</v>
      </c>
      <c r="P102" s="82">
        <v>0</v>
      </c>
      <c r="Q102" s="82">
        <v>53427.5</v>
      </c>
      <c r="R102" s="82">
        <v>0.05</v>
      </c>
      <c r="S102" s="82">
        <v>0</v>
      </c>
      <c r="T102" s="15"/>
      <c r="U102" s="82">
        <v>0</v>
      </c>
      <c r="V102" s="82">
        <v>0</v>
      </c>
      <c r="W102" s="82">
        <v>0</v>
      </c>
      <c r="X102" s="82">
        <v>0.05</v>
      </c>
      <c r="Y102" s="82">
        <v>0</v>
      </c>
    </row>
    <row r="103" spans="1:25" ht="14.25">
      <c r="A103" s="17">
        <f t="shared" si="10"/>
        <v>87</v>
      </c>
      <c r="B103" s="14" t="s">
        <v>267</v>
      </c>
      <c r="C103" s="15">
        <f>SUM(O103:S103)</f>
        <v>816110.76</v>
      </c>
      <c r="D103" s="15">
        <f>SUM(U103:Y103)</f>
        <v>1351919.49</v>
      </c>
      <c r="E103" s="15"/>
      <c r="F103" s="15"/>
      <c r="G103" s="15">
        <f t="shared" si="13"/>
        <v>1084015</v>
      </c>
      <c r="H103" s="15"/>
      <c r="I103" s="15">
        <f t="shared" si="14"/>
        <v>666451.09</v>
      </c>
      <c r="J103" s="15">
        <f t="shared" si="14"/>
        <v>0</v>
      </c>
      <c r="K103" s="15">
        <f t="shared" si="14"/>
        <v>108349.235</v>
      </c>
      <c r="L103" s="15">
        <f t="shared" si="14"/>
        <v>309214.80000000005</v>
      </c>
      <c r="M103" s="15">
        <f t="shared" si="14"/>
        <v>0</v>
      </c>
      <c r="N103" s="15"/>
      <c r="O103" s="82">
        <v>463318.7</v>
      </c>
      <c r="P103" s="82">
        <v>0</v>
      </c>
      <c r="Q103" s="82">
        <v>71779.03</v>
      </c>
      <c r="R103" s="82">
        <v>281013.03</v>
      </c>
      <c r="S103" s="82">
        <v>0</v>
      </c>
      <c r="T103" s="15"/>
      <c r="U103" s="82">
        <v>869583.48</v>
      </c>
      <c r="V103" s="82">
        <v>0</v>
      </c>
      <c r="W103" s="82">
        <v>144919.44</v>
      </c>
      <c r="X103" s="82">
        <v>337416.57</v>
      </c>
      <c r="Y103" s="82">
        <v>0</v>
      </c>
    </row>
    <row r="104" spans="1:25" ht="14.25">
      <c r="A104" s="17">
        <f t="shared" si="10"/>
        <v>88</v>
      </c>
      <c r="B104" s="5" t="s">
        <v>268</v>
      </c>
      <c r="C104" s="15">
        <f t="shared" si="11"/>
        <v>15120976.3</v>
      </c>
      <c r="D104" s="15">
        <f t="shared" si="12"/>
        <v>12132649.7</v>
      </c>
      <c r="E104" s="15"/>
      <c r="F104" s="15"/>
      <c r="G104" s="15">
        <f t="shared" si="13"/>
        <v>13626813</v>
      </c>
      <c r="H104" s="15"/>
      <c r="I104" s="15">
        <f t="shared" si="14"/>
        <v>13626813</v>
      </c>
      <c r="J104" s="15">
        <f t="shared" si="14"/>
        <v>0</v>
      </c>
      <c r="K104" s="15">
        <f t="shared" si="14"/>
        <v>0</v>
      </c>
      <c r="L104" s="15">
        <f t="shared" si="14"/>
        <v>0</v>
      </c>
      <c r="M104" s="15">
        <f t="shared" si="14"/>
        <v>0</v>
      </c>
      <c r="N104" s="15"/>
      <c r="O104" s="82">
        <v>15120976.3</v>
      </c>
      <c r="P104" s="82">
        <v>0</v>
      </c>
      <c r="Q104" s="82">
        <v>0</v>
      </c>
      <c r="R104" s="82">
        <v>0</v>
      </c>
      <c r="S104" s="82">
        <v>0</v>
      </c>
      <c r="T104" s="15"/>
      <c r="U104" s="82">
        <v>12132649.7</v>
      </c>
      <c r="V104" s="82">
        <v>0</v>
      </c>
      <c r="W104" s="82">
        <v>0</v>
      </c>
      <c r="X104" s="82">
        <v>0</v>
      </c>
      <c r="Y104" s="82">
        <v>0</v>
      </c>
    </row>
    <row r="105" spans="1:25" ht="14.25">
      <c r="A105" s="17">
        <f t="shared" si="10"/>
        <v>89</v>
      </c>
      <c r="B105" s="5" t="s">
        <v>269</v>
      </c>
      <c r="C105" s="15">
        <f t="shared" si="11"/>
        <v>4581.15</v>
      </c>
      <c r="D105" s="15">
        <f t="shared" si="12"/>
        <v>4581.15</v>
      </c>
      <c r="E105" s="15"/>
      <c r="F105" s="15"/>
      <c r="G105" s="15">
        <f t="shared" si="13"/>
        <v>4581</v>
      </c>
      <c r="H105" s="15"/>
      <c r="I105" s="15">
        <f t="shared" si="14"/>
        <v>4581.15</v>
      </c>
      <c r="J105" s="15">
        <f t="shared" si="14"/>
        <v>0</v>
      </c>
      <c r="K105" s="15">
        <f t="shared" si="14"/>
        <v>0</v>
      </c>
      <c r="L105" s="15">
        <f t="shared" si="14"/>
        <v>0</v>
      </c>
      <c r="M105" s="15">
        <f t="shared" si="14"/>
        <v>0</v>
      </c>
      <c r="N105" s="15"/>
      <c r="O105" s="82">
        <v>4581.15</v>
      </c>
      <c r="P105" s="82">
        <v>0</v>
      </c>
      <c r="Q105" s="82">
        <v>0</v>
      </c>
      <c r="R105" s="82">
        <v>0</v>
      </c>
      <c r="S105" s="82">
        <v>0</v>
      </c>
      <c r="T105" s="15"/>
      <c r="U105" s="82">
        <v>4581.15</v>
      </c>
      <c r="V105" s="82">
        <v>0</v>
      </c>
      <c r="W105" s="82">
        <v>0</v>
      </c>
      <c r="X105" s="82">
        <v>0</v>
      </c>
      <c r="Y105" s="82">
        <v>0</v>
      </c>
    </row>
    <row r="106" spans="1:25" ht="14.25">
      <c r="A106" s="17">
        <f t="shared" si="10"/>
        <v>90</v>
      </c>
      <c r="B106" s="5" t="s">
        <v>83</v>
      </c>
      <c r="C106" s="15">
        <f t="shared" si="11"/>
        <v>179966.7</v>
      </c>
      <c r="D106" s="15">
        <f t="shared" si="12"/>
        <v>179966.7</v>
      </c>
      <c r="E106" s="15"/>
      <c r="F106" s="15"/>
      <c r="G106" s="15">
        <f t="shared" si="13"/>
        <v>179967</v>
      </c>
      <c r="H106" s="15"/>
      <c r="I106" s="15">
        <f t="shared" si="14"/>
        <v>179966.7</v>
      </c>
      <c r="J106" s="15">
        <f t="shared" si="14"/>
        <v>0</v>
      </c>
      <c r="K106" s="15">
        <f t="shared" si="14"/>
        <v>0</v>
      </c>
      <c r="L106" s="15">
        <f t="shared" si="14"/>
        <v>0</v>
      </c>
      <c r="M106" s="15">
        <f t="shared" si="14"/>
        <v>0</v>
      </c>
      <c r="N106" s="15"/>
      <c r="O106" s="82">
        <v>179966.7</v>
      </c>
      <c r="P106" s="82">
        <v>0</v>
      </c>
      <c r="Q106" s="82">
        <v>0</v>
      </c>
      <c r="R106" s="82">
        <v>0</v>
      </c>
      <c r="S106" s="82">
        <v>0</v>
      </c>
      <c r="T106" s="15"/>
      <c r="U106" s="82">
        <v>179966.7</v>
      </c>
      <c r="V106" s="82">
        <v>0</v>
      </c>
      <c r="W106" s="82">
        <v>0</v>
      </c>
      <c r="X106" s="82">
        <v>0</v>
      </c>
      <c r="Y106" s="82">
        <v>0</v>
      </c>
    </row>
    <row r="107" spans="1:25" ht="14.25">
      <c r="A107" s="17">
        <f t="shared" si="10"/>
        <v>91</v>
      </c>
      <c r="B107" s="21" t="s">
        <v>583</v>
      </c>
      <c r="C107" s="15">
        <f t="shared" si="11"/>
        <v>243643.33</v>
      </c>
      <c r="D107" s="15">
        <f t="shared" si="12"/>
        <v>204508.99</v>
      </c>
      <c r="E107" s="15"/>
      <c r="F107" s="15"/>
      <c r="G107" s="15">
        <f t="shared" si="13"/>
        <v>224076</v>
      </c>
      <c r="H107" s="15"/>
      <c r="I107" s="15">
        <f t="shared" si="14"/>
        <v>224076.15999999997</v>
      </c>
      <c r="J107" s="15">
        <f t="shared" si="14"/>
        <v>0</v>
      </c>
      <c r="K107" s="15">
        <f t="shared" si="14"/>
        <v>0</v>
      </c>
      <c r="L107" s="15">
        <f t="shared" si="14"/>
        <v>0</v>
      </c>
      <c r="M107" s="15">
        <f t="shared" si="14"/>
        <v>0</v>
      </c>
      <c r="N107" s="15"/>
      <c r="O107" s="82">
        <v>243643.33</v>
      </c>
      <c r="P107" s="82">
        <v>0</v>
      </c>
      <c r="Q107" s="82">
        <v>0</v>
      </c>
      <c r="R107" s="82">
        <v>0</v>
      </c>
      <c r="S107" s="82">
        <v>0</v>
      </c>
      <c r="T107" s="15"/>
      <c r="U107" s="82">
        <v>204508.99</v>
      </c>
      <c r="V107" s="82">
        <v>0</v>
      </c>
      <c r="W107" s="82">
        <v>0</v>
      </c>
      <c r="X107" s="82">
        <v>0</v>
      </c>
      <c r="Y107" s="82">
        <v>0</v>
      </c>
    </row>
    <row r="108" spans="1:25" ht="14.25">
      <c r="A108" s="17">
        <f t="shared" si="10"/>
        <v>92</v>
      </c>
      <c r="B108" s="21" t="s">
        <v>270</v>
      </c>
      <c r="C108" s="15">
        <f t="shared" si="11"/>
        <v>-8374.45</v>
      </c>
      <c r="D108" s="15">
        <f t="shared" si="12"/>
        <v>-8374.45</v>
      </c>
      <c r="E108" s="15"/>
      <c r="F108" s="15"/>
      <c r="G108" s="15">
        <f t="shared" si="13"/>
        <v>-8374</v>
      </c>
      <c r="H108" s="15"/>
      <c r="I108" s="15">
        <f t="shared" si="14"/>
        <v>-8374.45</v>
      </c>
      <c r="J108" s="15">
        <f t="shared" si="14"/>
        <v>0</v>
      </c>
      <c r="K108" s="15">
        <f t="shared" si="14"/>
        <v>0</v>
      </c>
      <c r="L108" s="15">
        <f t="shared" si="14"/>
        <v>0</v>
      </c>
      <c r="M108" s="15">
        <f t="shared" si="14"/>
        <v>0</v>
      </c>
      <c r="N108" s="15"/>
      <c r="O108" s="82">
        <v>-8374.45</v>
      </c>
      <c r="P108" s="82">
        <v>0</v>
      </c>
      <c r="Q108" s="82">
        <v>0</v>
      </c>
      <c r="R108" s="82">
        <v>0</v>
      </c>
      <c r="S108" s="82">
        <v>0</v>
      </c>
      <c r="T108" s="15"/>
      <c r="U108" s="82">
        <v>-8374.45</v>
      </c>
      <c r="V108" s="82">
        <v>0</v>
      </c>
      <c r="W108" s="82">
        <v>0</v>
      </c>
      <c r="X108" s="82">
        <v>0</v>
      </c>
      <c r="Y108" s="82">
        <v>0</v>
      </c>
    </row>
    <row r="109" spans="1:25" ht="14.25">
      <c r="A109" s="17">
        <f t="shared" si="10"/>
        <v>93</v>
      </c>
      <c r="B109" s="21" t="s">
        <v>597</v>
      </c>
      <c r="C109" s="15">
        <f aca="true" t="shared" si="15" ref="C109:C119">SUM(O109:S109)</f>
        <v>0.01</v>
      </c>
      <c r="D109" s="15">
        <f t="shared" si="12"/>
        <v>0.01</v>
      </c>
      <c r="E109" s="15"/>
      <c r="F109" s="15"/>
      <c r="G109" s="15">
        <f t="shared" si="13"/>
        <v>0</v>
      </c>
      <c r="H109" s="15"/>
      <c r="I109" s="15">
        <f t="shared" si="14"/>
        <v>0.01</v>
      </c>
      <c r="J109" s="15">
        <f t="shared" si="14"/>
        <v>0</v>
      </c>
      <c r="K109" s="15">
        <f t="shared" si="14"/>
        <v>0</v>
      </c>
      <c r="L109" s="15">
        <f t="shared" si="14"/>
        <v>0</v>
      </c>
      <c r="M109" s="15">
        <f t="shared" si="14"/>
        <v>0</v>
      </c>
      <c r="N109" s="15"/>
      <c r="O109" s="82">
        <v>0.01</v>
      </c>
      <c r="P109" s="82">
        <v>0</v>
      </c>
      <c r="Q109" s="82">
        <v>0</v>
      </c>
      <c r="R109" s="82">
        <v>0</v>
      </c>
      <c r="S109" s="82">
        <v>0</v>
      </c>
      <c r="T109" s="15"/>
      <c r="U109" s="82">
        <v>0.01</v>
      </c>
      <c r="V109" s="82">
        <v>0</v>
      </c>
      <c r="W109" s="82">
        <v>0</v>
      </c>
      <c r="X109" s="82">
        <v>0</v>
      </c>
      <c r="Y109" s="82">
        <v>0</v>
      </c>
    </row>
    <row r="110" spans="1:25" ht="14.25">
      <c r="A110" s="17">
        <f t="shared" si="10"/>
        <v>94</v>
      </c>
      <c r="B110" s="21" t="s">
        <v>378</v>
      </c>
      <c r="C110" s="15">
        <f t="shared" si="15"/>
        <v>46850400.8</v>
      </c>
      <c r="D110" s="15">
        <f t="shared" si="12"/>
        <v>46619510.349999994</v>
      </c>
      <c r="E110" s="15"/>
      <c r="F110" s="15"/>
      <c r="G110" s="15">
        <f t="shared" si="13"/>
        <v>46734956</v>
      </c>
      <c r="H110" s="15"/>
      <c r="I110" s="15">
        <f t="shared" si="14"/>
        <v>10597145.125</v>
      </c>
      <c r="J110" s="15">
        <f t="shared" si="14"/>
        <v>10114300</v>
      </c>
      <c r="K110" s="15">
        <f t="shared" si="14"/>
        <v>4346660.5</v>
      </c>
      <c r="L110" s="15">
        <f t="shared" si="14"/>
        <v>21676849.950000003</v>
      </c>
      <c r="M110" s="15">
        <f t="shared" si="14"/>
        <v>0</v>
      </c>
      <c r="N110" s="15"/>
      <c r="O110" s="82">
        <v>10460359</v>
      </c>
      <c r="P110" s="82">
        <v>10113321.05</v>
      </c>
      <c r="Q110" s="82">
        <v>4162589.9</v>
      </c>
      <c r="R110" s="82">
        <v>22114130.85</v>
      </c>
      <c r="S110" s="82">
        <v>0</v>
      </c>
      <c r="T110" s="15"/>
      <c r="U110" s="82">
        <v>10733931.25</v>
      </c>
      <c r="V110" s="82">
        <v>10115278.95</v>
      </c>
      <c r="W110" s="82">
        <v>4530731.1</v>
      </c>
      <c r="X110" s="82">
        <v>21239569.05</v>
      </c>
      <c r="Y110" s="82">
        <v>0</v>
      </c>
    </row>
    <row r="111" spans="1:25" ht="14.25">
      <c r="A111" s="17">
        <f t="shared" si="10"/>
        <v>95</v>
      </c>
      <c r="B111" s="21" t="s">
        <v>379</v>
      </c>
      <c r="C111" s="15">
        <f t="shared" si="15"/>
        <v>245646.45</v>
      </c>
      <c r="D111" s="15">
        <f t="shared" si="12"/>
        <v>322931.7</v>
      </c>
      <c r="E111" s="15"/>
      <c r="F111" s="15"/>
      <c r="G111" s="15">
        <f t="shared" si="13"/>
        <v>284289</v>
      </c>
      <c r="H111" s="15"/>
      <c r="I111" s="15">
        <f t="shared" si="14"/>
        <v>-4928.7</v>
      </c>
      <c r="J111" s="15">
        <f t="shared" si="14"/>
        <v>82850.775</v>
      </c>
      <c r="K111" s="15">
        <f t="shared" si="14"/>
        <v>27042.4</v>
      </c>
      <c r="L111" s="15">
        <f t="shared" si="14"/>
        <v>179324.6</v>
      </c>
      <c r="M111" s="15">
        <f t="shared" si="14"/>
        <v>0</v>
      </c>
      <c r="N111" s="15"/>
      <c r="O111" s="82">
        <v>-3183.6</v>
      </c>
      <c r="P111" s="82">
        <v>52990.7</v>
      </c>
      <c r="Q111" s="82">
        <v>25253.9</v>
      </c>
      <c r="R111" s="82">
        <v>170585.45</v>
      </c>
      <c r="S111" s="82">
        <v>0</v>
      </c>
      <c r="T111" s="15"/>
      <c r="U111" s="82">
        <v>-6673.8</v>
      </c>
      <c r="V111" s="82">
        <v>112710.85</v>
      </c>
      <c r="W111" s="82">
        <v>28830.9</v>
      </c>
      <c r="X111" s="82">
        <v>188063.75</v>
      </c>
      <c r="Y111" s="82">
        <v>0</v>
      </c>
    </row>
    <row r="112" spans="1:25" ht="14.25">
      <c r="A112" s="17">
        <f t="shared" si="10"/>
        <v>96</v>
      </c>
      <c r="B112" s="21" t="s">
        <v>380</v>
      </c>
      <c r="C112" s="15">
        <f t="shared" si="15"/>
        <v>-12049774.379999999</v>
      </c>
      <c r="D112" s="15">
        <f t="shared" si="12"/>
        <v>-9192411.11</v>
      </c>
      <c r="E112" s="15"/>
      <c r="F112" s="15"/>
      <c r="G112" s="15">
        <f t="shared" si="13"/>
        <v>-10621093</v>
      </c>
      <c r="H112" s="15"/>
      <c r="I112" s="15">
        <f t="shared" si="14"/>
        <v>-2208334.66</v>
      </c>
      <c r="J112" s="15">
        <f t="shared" si="14"/>
        <v>-3388421.26</v>
      </c>
      <c r="K112" s="15">
        <f t="shared" si="14"/>
        <v>-818889.4750000001</v>
      </c>
      <c r="L112" s="15">
        <f t="shared" si="14"/>
        <v>-4205447.35</v>
      </c>
      <c r="M112" s="15">
        <f t="shared" si="14"/>
        <v>0</v>
      </c>
      <c r="N112" s="15"/>
      <c r="O112" s="82">
        <v>-2550157.85</v>
      </c>
      <c r="P112" s="82">
        <v>-3908491.5</v>
      </c>
      <c r="Q112" s="82">
        <v>-914397.65</v>
      </c>
      <c r="R112" s="82">
        <v>-4676727.38</v>
      </c>
      <c r="S112" s="82">
        <v>0</v>
      </c>
      <c r="T112" s="15"/>
      <c r="U112" s="82">
        <v>-1866511.47</v>
      </c>
      <c r="V112" s="82">
        <v>-2868351.02</v>
      </c>
      <c r="W112" s="82">
        <v>-723381.3</v>
      </c>
      <c r="X112" s="82">
        <v>-3734167.32</v>
      </c>
      <c r="Y112" s="82">
        <v>0</v>
      </c>
    </row>
    <row r="113" spans="1:25" ht="14.25">
      <c r="A113" s="17">
        <f t="shared" si="10"/>
        <v>97</v>
      </c>
      <c r="B113" s="21" t="s">
        <v>271</v>
      </c>
      <c r="C113" s="15">
        <f t="shared" si="15"/>
        <v>0</v>
      </c>
      <c r="D113" s="15">
        <f t="shared" si="12"/>
        <v>0</v>
      </c>
      <c r="E113" s="15"/>
      <c r="F113" s="15"/>
      <c r="G113" s="15">
        <f t="shared" si="13"/>
        <v>0</v>
      </c>
      <c r="H113" s="15"/>
      <c r="I113" s="15">
        <f t="shared" si="14"/>
        <v>0</v>
      </c>
      <c r="J113" s="15">
        <f t="shared" si="14"/>
        <v>0</v>
      </c>
      <c r="K113" s="15">
        <f t="shared" si="14"/>
        <v>0</v>
      </c>
      <c r="L113" s="15">
        <f t="shared" si="14"/>
        <v>0</v>
      </c>
      <c r="M113" s="15">
        <f t="shared" si="14"/>
        <v>0</v>
      </c>
      <c r="N113" s="15"/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15"/>
      <c r="U113" s="82">
        <v>0</v>
      </c>
      <c r="V113" s="82">
        <v>0</v>
      </c>
      <c r="W113" s="82">
        <v>0</v>
      </c>
      <c r="X113" s="82">
        <v>0</v>
      </c>
      <c r="Y113" s="82">
        <v>0</v>
      </c>
    </row>
    <row r="114" spans="1:25" ht="14.25">
      <c r="A114" s="17">
        <f t="shared" si="10"/>
        <v>98</v>
      </c>
      <c r="B114" s="21" t="s">
        <v>272</v>
      </c>
      <c r="C114" s="15">
        <f t="shared" si="15"/>
        <v>1542994.21</v>
      </c>
      <c r="D114" s="15">
        <f t="shared" si="12"/>
        <v>-0.01</v>
      </c>
      <c r="E114" s="15"/>
      <c r="F114" s="15"/>
      <c r="G114" s="15">
        <f t="shared" si="13"/>
        <v>771497</v>
      </c>
      <c r="H114" s="15"/>
      <c r="I114" s="15">
        <f t="shared" si="14"/>
        <v>771497.1</v>
      </c>
      <c r="J114" s="15">
        <f t="shared" si="14"/>
        <v>0</v>
      </c>
      <c r="K114" s="15">
        <f t="shared" si="14"/>
        <v>0</v>
      </c>
      <c r="L114" s="15">
        <f t="shared" si="14"/>
        <v>0</v>
      </c>
      <c r="M114" s="15">
        <f t="shared" si="14"/>
        <v>0</v>
      </c>
      <c r="N114" s="15"/>
      <c r="O114" s="82">
        <v>1542994.21</v>
      </c>
      <c r="P114" s="82">
        <v>0</v>
      </c>
      <c r="Q114" s="82">
        <v>0</v>
      </c>
      <c r="R114" s="82">
        <v>0</v>
      </c>
      <c r="S114" s="82">
        <v>0</v>
      </c>
      <c r="T114" s="15"/>
      <c r="U114" s="82">
        <v>-0.01</v>
      </c>
      <c r="V114" s="82">
        <v>0</v>
      </c>
      <c r="W114" s="82">
        <v>0</v>
      </c>
      <c r="X114" s="82">
        <v>0</v>
      </c>
      <c r="Y114" s="82">
        <v>0</v>
      </c>
    </row>
    <row r="115" spans="1:25" ht="14.25">
      <c r="A115" s="17">
        <f>A114+1</f>
        <v>99</v>
      </c>
      <c r="B115" s="21" t="s">
        <v>598</v>
      </c>
      <c r="C115" s="15">
        <f t="shared" si="15"/>
        <v>0</v>
      </c>
      <c r="D115" s="15">
        <f t="shared" si="12"/>
        <v>7655281.95</v>
      </c>
      <c r="E115" s="15"/>
      <c r="F115" s="15"/>
      <c r="G115" s="15">
        <f t="shared" si="13"/>
        <v>3827641</v>
      </c>
      <c r="H115" s="15"/>
      <c r="I115" s="15">
        <f t="shared" si="14"/>
        <v>3827640.975</v>
      </c>
      <c r="J115" s="15">
        <f t="shared" si="14"/>
        <v>0</v>
      </c>
      <c r="K115" s="15">
        <f t="shared" si="14"/>
        <v>0</v>
      </c>
      <c r="L115" s="15">
        <f t="shared" si="14"/>
        <v>0</v>
      </c>
      <c r="M115" s="15">
        <f t="shared" si="14"/>
        <v>0</v>
      </c>
      <c r="N115" s="15"/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15"/>
      <c r="U115" s="82">
        <v>7655281.95</v>
      </c>
      <c r="V115" s="82">
        <v>0</v>
      </c>
      <c r="W115" s="82">
        <v>0</v>
      </c>
      <c r="X115" s="82">
        <v>0</v>
      </c>
      <c r="Y115" s="82">
        <v>0</v>
      </c>
    </row>
    <row r="116" spans="1:25" ht="14.25">
      <c r="A116" s="17">
        <f t="shared" si="10"/>
        <v>100</v>
      </c>
      <c r="B116" s="21" t="s">
        <v>273</v>
      </c>
      <c r="C116" s="15">
        <f t="shared" si="15"/>
        <v>0</v>
      </c>
      <c r="D116" s="15">
        <f t="shared" si="12"/>
        <v>0</v>
      </c>
      <c r="E116" s="15"/>
      <c r="F116" s="15"/>
      <c r="G116" s="15">
        <f t="shared" si="13"/>
        <v>0</v>
      </c>
      <c r="H116" s="15"/>
      <c r="I116" s="15">
        <f t="shared" si="14"/>
        <v>0</v>
      </c>
      <c r="J116" s="15">
        <f t="shared" si="14"/>
        <v>0</v>
      </c>
      <c r="K116" s="15">
        <f t="shared" si="14"/>
        <v>0</v>
      </c>
      <c r="L116" s="15">
        <f t="shared" si="14"/>
        <v>0</v>
      </c>
      <c r="M116" s="15">
        <f t="shared" si="14"/>
        <v>0</v>
      </c>
      <c r="N116" s="15"/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15"/>
      <c r="U116" s="82">
        <v>0</v>
      </c>
      <c r="V116" s="82">
        <v>0</v>
      </c>
      <c r="W116" s="82">
        <v>0</v>
      </c>
      <c r="X116" s="82">
        <v>0</v>
      </c>
      <c r="Y116" s="82">
        <v>0</v>
      </c>
    </row>
    <row r="117" spans="1:25" ht="14.25">
      <c r="A117" s="17">
        <f t="shared" si="10"/>
        <v>101</v>
      </c>
      <c r="B117" s="21" t="s">
        <v>274</v>
      </c>
      <c r="C117" s="15">
        <f t="shared" si="15"/>
        <v>0</v>
      </c>
      <c r="D117" s="15">
        <f t="shared" si="12"/>
        <v>0</v>
      </c>
      <c r="E117" s="15"/>
      <c r="F117" s="15"/>
      <c r="G117" s="15">
        <f t="shared" si="13"/>
        <v>0</v>
      </c>
      <c r="H117" s="15"/>
      <c r="I117" s="15">
        <f t="shared" si="14"/>
        <v>0</v>
      </c>
      <c r="J117" s="15">
        <f t="shared" si="14"/>
        <v>0</v>
      </c>
      <c r="K117" s="15">
        <f t="shared" si="14"/>
        <v>0</v>
      </c>
      <c r="L117" s="15">
        <f t="shared" si="14"/>
        <v>0</v>
      </c>
      <c r="M117" s="15">
        <f t="shared" si="14"/>
        <v>0</v>
      </c>
      <c r="N117" s="15"/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15"/>
      <c r="U117" s="82">
        <v>0</v>
      </c>
      <c r="V117" s="82">
        <v>0</v>
      </c>
      <c r="W117" s="82">
        <v>0</v>
      </c>
      <c r="X117" s="82">
        <v>0</v>
      </c>
      <c r="Y117" s="82">
        <v>0</v>
      </c>
    </row>
    <row r="118" spans="1:25" ht="14.25">
      <c r="A118" s="17">
        <f t="shared" si="10"/>
        <v>102</v>
      </c>
      <c r="B118" s="21" t="s">
        <v>599</v>
      </c>
      <c r="C118" s="15">
        <f t="shared" si="15"/>
        <v>419074.57</v>
      </c>
      <c r="D118" s="15">
        <f t="shared" si="12"/>
        <v>-80833.7</v>
      </c>
      <c r="E118" s="15"/>
      <c r="F118" s="15"/>
      <c r="G118" s="15">
        <f t="shared" si="13"/>
        <v>169120</v>
      </c>
      <c r="H118" s="15"/>
      <c r="I118" s="15">
        <f t="shared" si="14"/>
        <v>1810.115</v>
      </c>
      <c r="J118" s="15">
        <f t="shared" si="14"/>
        <v>0</v>
      </c>
      <c r="K118" s="15">
        <f t="shared" si="14"/>
        <v>0</v>
      </c>
      <c r="L118" s="15">
        <f t="shared" si="14"/>
        <v>167310.32</v>
      </c>
      <c r="M118" s="15">
        <f t="shared" si="14"/>
        <v>0</v>
      </c>
      <c r="N118" s="15"/>
      <c r="O118" s="82">
        <v>3620.23</v>
      </c>
      <c r="P118" s="82">
        <v>0</v>
      </c>
      <c r="Q118" s="82">
        <v>0</v>
      </c>
      <c r="R118" s="82">
        <v>415454.34</v>
      </c>
      <c r="S118" s="82">
        <v>0</v>
      </c>
      <c r="T118" s="15"/>
      <c r="U118" s="82">
        <v>0</v>
      </c>
      <c r="V118" s="82">
        <v>0</v>
      </c>
      <c r="W118" s="82">
        <v>0</v>
      </c>
      <c r="X118" s="82">
        <v>-80833.7</v>
      </c>
      <c r="Y118" s="82">
        <v>0</v>
      </c>
    </row>
    <row r="119" spans="1:25" ht="14.25">
      <c r="A119" s="17">
        <f t="shared" si="10"/>
        <v>103</v>
      </c>
      <c r="B119" s="21" t="s">
        <v>275</v>
      </c>
      <c r="C119" s="15">
        <f t="shared" si="15"/>
        <v>17967.7</v>
      </c>
      <c r="D119" s="15">
        <f t="shared" si="12"/>
        <v>17967.7</v>
      </c>
      <c r="E119" s="15"/>
      <c r="F119" s="15"/>
      <c r="G119" s="15">
        <f t="shared" si="13"/>
        <v>17968</v>
      </c>
      <c r="H119" s="15"/>
      <c r="I119" s="15">
        <f t="shared" si="14"/>
        <v>17967.7</v>
      </c>
      <c r="J119" s="15">
        <f t="shared" si="14"/>
        <v>0</v>
      </c>
      <c r="K119" s="15">
        <f t="shared" si="14"/>
        <v>0</v>
      </c>
      <c r="L119" s="15">
        <f t="shared" si="14"/>
        <v>0</v>
      </c>
      <c r="M119" s="15">
        <f t="shared" si="14"/>
        <v>0</v>
      </c>
      <c r="N119" s="15"/>
      <c r="O119" s="82">
        <v>17967.7</v>
      </c>
      <c r="P119" s="82">
        <v>0</v>
      </c>
      <c r="Q119" s="82">
        <v>0</v>
      </c>
      <c r="R119" s="82">
        <v>0</v>
      </c>
      <c r="S119" s="82">
        <v>0</v>
      </c>
      <c r="T119" s="15"/>
      <c r="U119" s="82">
        <v>17967.7</v>
      </c>
      <c r="V119" s="82">
        <v>0</v>
      </c>
      <c r="W119" s="82">
        <v>0</v>
      </c>
      <c r="X119" s="82">
        <v>0</v>
      </c>
      <c r="Y119" s="82">
        <v>0</v>
      </c>
    </row>
    <row r="120" spans="1:25" ht="14.25">
      <c r="A120" s="17">
        <f t="shared" si="10"/>
        <v>104</v>
      </c>
      <c r="B120" s="21" t="s">
        <v>276</v>
      </c>
      <c r="C120" s="15">
        <f>SUM(O120:S120)</f>
        <v>-0.01</v>
      </c>
      <c r="D120" s="15">
        <f t="shared" si="12"/>
        <v>-0.01</v>
      </c>
      <c r="E120" s="15"/>
      <c r="F120" s="15"/>
      <c r="G120" s="15">
        <f t="shared" si="13"/>
        <v>0</v>
      </c>
      <c r="H120" s="15"/>
      <c r="I120" s="15">
        <f aca="true" t="shared" si="16" ref="I120:M151">(+O120+U120)/2</f>
        <v>0</v>
      </c>
      <c r="J120" s="15">
        <f t="shared" si="16"/>
        <v>-0.01</v>
      </c>
      <c r="K120" s="15">
        <f t="shared" si="16"/>
        <v>0</v>
      </c>
      <c r="L120" s="15">
        <f t="shared" si="16"/>
        <v>0</v>
      </c>
      <c r="M120" s="15">
        <f t="shared" si="16"/>
        <v>0</v>
      </c>
      <c r="N120" s="15"/>
      <c r="O120" s="82">
        <v>0</v>
      </c>
      <c r="P120" s="82">
        <v>-0.01</v>
      </c>
      <c r="Q120" s="82">
        <v>0</v>
      </c>
      <c r="R120" s="82">
        <v>0</v>
      </c>
      <c r="S120" s="82">
        <v>0</v>
      </c>
      <c r="T120" s="15"/>
      <c r="U120" s="82">
        <v>0</v>
      </c>
      <c r="V120" s="82">
        <v>-0.01</v>
      </c>
      <c r="W120" s="82">
        <v>0</v>
      </c>
      <c r="X120" s="82">
        <v>0</v>
      </c>
      <c r="Y120" s="82">
        <v>0</v>
      </c>
    </row>
    <row r="121" spans="1:25" ht="14.25">
      <c r="A121" s="17">
        <f t="shared" si="10"/>
        <v>105</v>
      </c>
      <c r="B121" s="21" t="s">
        <v>277</v>
      </c>
      <c r="C121" s="15">
        <f>SUM(O121:S121)</f>
        <v>81984.03</v>
      </c>
      <c r="D121" s="15">
        <f t="shared" si="12"/>
        <v>35214.59</v>
      </c>
      <c r="E121" s="15"/>
      <c r="F121" s="15"/>
      <c r="G121" s="15">
        <f t="shared" si="13"/>
        <v>58599</v>
      </c>
      <c r="H121" s="15"/>
      <c r="I121" s="15">
        <f t="shared" si="16"/>
        <v>0</v>
      </c>
      <c r="J121" s="15">
        <f t="shared" si="16"/>
        <v>58599.31</v>
      </c>
      <c r="K121" s="15">
        <f t="shared" si="16"/>
        <v>0</v>
      </c>
      <c r="L121" s="15">
        <f t="shared" si="16"/>
        <v>0</v>
      </c>
      <c r="M121" s="15">
        <f t="shared" si="16"/>
        <v>0</v>
      </c>
      <c r="N121" s="15"/>
      <c r="O121" s="82">
        <v>0</v>
      </c>
      <c r="P121" s="82">
        <v>81984.03</v>
      </c>
      <c r="Q121" s="82">
        <v>0</v>
      </c>
      <c r="R121" s="82">
        <v>0</v>
      </c>
      <c r="S121" s="82">
        <v>0</v>
      </c>
      <c r="T121" s="15"/>
      <c r="U121" s="82">
        <v>0</v>
      </c>
      <c r="V121" s="82">
        <v>35214.59</v>
      </c>
      <c r="W121" s="82">
        <v>0</v>
      </c>
      <c r="X121" s="82">
        <v>0</v>
      </c>
      <c r="Y121" s="82">
        <v>0</v>
      </c>
    </row>
    <row r="122" spans="1:25" ht="14.25">
      <c r="A122" s="17">
        <f t="shared" si="10"/>
        <v>106</v>
      </c>
      <c r="B122" s="21" t="s">
        <v>88</v>
      </c>
      <c r="C122" s="15">
        <f>SUM(O122:S122)</f>
        <v>848201.51</v>
      </c>
      <c r="D122" s="15">
        <f t="shared" si="12"/>
        <v>405661.56999999995</v>
      </c>
      <c r="E122" s="15"/>
      <c r="F122" s="15"/>
      <c r="G122" s="15">
        <f t="shared" si="13"/>
        <v>626932</v>
      </c>
      <c r="H122" s="15"/>
      <c r="I122" s="15">
        <f t="shared" si="16"/>
        <v>93519.59</v>
      </c>
      <c r="J122" s="15">
        <f t="shared" si="16"/>
        <v>199748.71</v>
      </c>
      <c r="K122" s="15">
        <f t="shared" si="16"/>
        <v>96504.7</v>
      </c>
      <c r="L122" s="15">
        <f t="shared" si="16"/>
        <v>237158.53999999998</v>
      </c>
      <c r="M122" s="15">
        <f t="shared" si="16"/>
        <v>0</v>
      </c>
      <c r="N122" s="15"/>
      <c r="O122" s="82">
        <v>126526.51</v>
      </c>
      <c r="P122" s="82">
        <v>270248.25</v>
      </c>
      <c r="Q122" s="82">
        <v>130565.19</v>
      </c>
      <c r="R122" s="82">
        <v>320861.56</v>
      </c>
      <c r="S122" s="82">
        <v>0</v>
      </c>
      <c r="T122" s="15"/>
      <c r="U122" s="82">
        <v>60512.67</v>
      </c>
      <c r="V122" s="82">
        <v>129249.17</v>
      </c>
      <c r="W122" s="82">
        <v>62444.21</v>
      </c>
      <c r="X122" s="82">
        <v>153455.52</v>
      </c>
      <c r="Y122" s="82">
        <v>0</v>
      </c>
    </row>
    <row r="123" spans="1:25" ht="14.25">
      <c r="A123" s="17">
        <f t="shared" si="10"/>
        <v>107</v>
      </c>
      <c r="B123" s="21" t="s">
        <v>600</v>
      </c>
      <c r="C123" s="15">
        <f aca="true" t="shared" si="17" ref="C123:C135">SUM(O123:S123)</f>
        <v>0</v>
      </c>
      <c r="D123" s="15">
        <f t="shared" si="12"/>
        <v>248876.6</v>
      </c>
      <c r="E123" s="15"/>
      <c r="F123" s="15"/>
      <c r="G123" s="15">
        <f t="shared" si="13"/>
        <v>124438</v>
      </c>
      <c r="H123" s="15"/>
      <c r="I123" s="15">
        <f t="shared" si="16"/>
        <v>0</v>
      </c>
      <c r="J123" s="15">
        <f t="shared" si="16"/>
        <v>0</v>
      </c>
      <c r="K123" s="15">
        <f t="shared" si="16"/>
        <v>0</v>
      </c>
      <c r="L123" s="15">
        <f t="shared" si="16"/>
        <v>124438.3</v>
      </c>
      <c r="M123" s="15">
        <f t="shared" si="16"/>
        <v>0</v>
      </c>
      <c r="N123" s="15"/>
      <c r="O123" s="82">
        <v>0</v>
      </c>
      <c r="P123" s="82">
        <v>0</v>
      </c>
      <c r="Q123" s="82">
        <v>0</v>
      </c>
      <c r="R123" s="82">
        <v>0</v>
      </c>
      <c r="S123" s="82">
        <v>0</v>
      </c>
      <c r="T123" s="15"/>
      <c r="U123" s="82">
        <v>0</v>
      </c>
      <c r="V123" s="82">
        <v>0</v>
      </c>
      <c r="W123" s="82">
        <v>0</v>
      </c>
      <c r="X123" s="82">
        <v>248876.6</v>
      </c>
      <c r="Y123" s="82">
        <v>0</v>
      </c>
    </row>
    <row r="124" spans="1:25" ht="14.25">
      <c r="A124" s="17">
        <f t="shared" si="10"/>
        <v>108</v>
      </c>
      <c r="B124" s="21" t="s">
        <v>601</v>
      </c>
      <c r="C124" s="15">
        <f t="shared" si="17"/>
        <v>0</v>
      </c>
      <c r="D124" s="15">
        <f t="shared" si="12"/>
        <v>-93.35</v>
      </c>
      <c r="E124" s="15"/>
      <c r="F124" s="15"/>
      <c r="G124" s="15">
        <f t="shared" si="13"/>
        <v>-47</v>
      </c>
      <c r="H124" s="15"/>
      <c r="I124" s="15">
        <f t="shared" si="16"/>
        <v>0</v>
      </c>
      <c r="J124" s="15">
        <f t="shared" si="16"/>
        <v>0</v>
      </c>
      <c r="K124" s="15">
        <f t="shared" si="16"/>
        <v>0</v>
      </c>
      <c r="L124" s="15">
        <f t="shared" si="16"/>
        <v>-46.675</v>
      </c>
      <c r="M124" s="15">
        <f t="shared" si="16"/>
        <v>0</v>
      </c>
      <c r="N124" s="15"/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15"/>
      <c r="U124" s="82">
        <v>0</v>
      </c>
      <c r="V124" s="82">
        <v>0</v>
      </c>
      <c r="W124" s="82">
        <v>0</v>
      </c>
      <c r="X124" s="82">
        <v>-93.35</v>
      </c>
      <c r="Y124" s="82">
        <v>0</v>
      </c>
    </row>
    <row r="125" spans="1:25" ht="14.25">
      <c r="A125" s="17">
        <f t="shared" si="10"/>
        <v>109</v>
      </c>
      <c r="B125" s="21" t="s">
        <v>602</v>
      </c>
      <c r="C125" s="15">
        <f t="shared" si="17"/>
        <v>0</v>
      </c>
      <c r="D125" s="15">
        <f t="shared" si="12"/>
        <v>-3796.29</v>
      </c>
      <c r="E125" s="15"/>
      <c r="F125" s="15"/>
      <c r="G125" s="15">
        <f t="shared" si="13"/>
        <v>-1898</v>
      </c>
      <c r="H125" s="15"/>
      <c r="I125" s="15">
        <f t="shared" si="16"/>
        <v>0</v>
      </c>
      <c r="J125" s="15">
        <f t="shared" si="16"/>
        <v>0</v>
      </c>
      <c r="K125" s="15">
        <f t="shared" si="16"/>
        <v>0</v>
      </c>
      <c r="L125" s="15">
        <f t="shared" si="16"/>
        <v>-1898.145</v>
      </c>
      <c r="M125" s="15">
        <f t="shared" si="16"/>
        <v>0</v>
      </c>
      <c r="N125" s="15"/>
      <c r="O125" s="82">
        <v>0</v>
      </c>
      <c r="P125" s="82">
        <v>0</v>
      </c>
      <c r="Q125" s="82">
        <v>0</v>
      </c>
      <c r="R125" s="82">
        <v>0</v>
      </c>
      <c r="S125" s="82">
        <v>0</v>
      </c>
      <c r="T125" s="15"/>
      <c r="U125" s="82">
        <v>0</v>
      </c>
      <c r="V125" s="82">
        <v>0</v>
      </c>
      <c r="W125" s="82">
        <v>0</v>
      </c>
      <c r="X125" s="82">
        <v>-3796.29</v>
      </c>
      <c r="Y125" s="82">
        <v>0</v>
      </c>
    </row>
    <row r="126" spans="1:25" ht="14.25">
      <c r="A126" s="17">
        <f t="shared" si="10"/>
        <v>110</v>
      </c>
      <c r="B126" s="21" t="s">
        <v>603</v>
      </c>
      <c r="C126" s="15">
        <f t="shared" si="17"/>
        <v>0</v>
      </c>
      <c r="D126" s="15">
        <f t="shared" si="12"/>
        <v>162.89</v>
      </c>
      <c r="E126" s="15"/>
      <c r="F126" s="15"/>
      <c r="G126" s="15">
        <f t="shared" si="13"/>
        <v>81</v>
      </c>
      <c r="H126" s="15"/>
      <c r="I126" s="15">
        <f t="shared" si="16"/>
        <v>0</v>
      </c>
      <c r="J126" s="15">
        <f t="shared" si="16"/>
        <v>0</v>
      </c>
      <c r="K126" s="15">
        <f t="shared" si="16"/>
        <v>0</v>
      </c>
      <c r="L126" s="15">
        <f t="shared" si="16"/>
        <v>81.445</v>
      </c>
      <c r="M126" s="15">
        <f t="shared" si="16"/>
        <v>0</v>
      </c>
      <c r="N126" s="15"/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15"/>
      <c r="U126" s="82">
        <v>0</v>
      </c>
      <c r="V126" s="82">
        <v>0</v>
      </c>
      <c r="W126" s="82">
        <v>0</v>
      </c>
      <c r="X126" s="82">
        <v>162.89</v>
      </c>
      <c r="Y126" s="82">
        <v>0</v>
      </c>
    </row>
    <row r="127" spans="1:25" ht="14.25">
      <c r="A127" s="17">
        <f t="shared" si="10"/>
        <v>111</v>
      </c>
      <c r="B127" s="21" t="s">
        <v>604</v>
      </c>
      <c r="C127" s="15">
        <f t="shared" si="17"/>
        <v>0</v>
      </c>
      <c r="D127" s="15">
        <f t="shared" si="12"/>
        <v>9665.13</v>
      </c>
      <c r="E127" s="15"/>
      <c r="F127" s="15"/>
      <c r="G127" s="15">
        <f t="shared" si="13"/>
        <v>4833</v>
      </c>
      <c r="H127" s="15"/>
      <c r="I127" s="15">
        <f t="shared" si="16"/>
        <v>0</v>
      </c>
      <c r="J127" s="15">
        <f t="shared" si="16"/>
        <v>0</v>
      </c>
      <c r="K127" s="15">
        <f t="shared" si="16"/>
        <v>0</v>
      </c>
      <c r="L127" s="15">
        <f t="shared" si="16"/>
        <v>4832.565</v>
      </c>
      <c r="M127" s="15">
        <f t="shared" si="16"/>
        <v>0</v>
      </c>
      <c r="N127" s="15"/>
      <c r="O127" s="82">
        <v>0</v>
      </c>
      <c r="P127" s="82">
        <v>0</v>
      </c>
      <c r="Q127" s="82">
        <v>0</v>
      </c>
      <c r="R127" s="82">
        <v>0</v>
      </c>
      <c r="S127" s="82">
        <v>0</v>
      </c>
      <c r="T127" s="15"/>
      <c r="U127" s="82">
        <v>0</v>
      </c>
      <c r="V127" s="82">
        <v>0</v>
      </c>
      <c r="W127" s="82">
        <v>0</v>
      </c>
      <c r="X127" s="82">
        <v>9665.13</v>
      </c>
      <c r="Y127" s="82">
        <v>0</v>
      </c>
    </row>
    <row r="128" spans="1:25" ht="14.25">
      <c r="A128" s="17">
        <f t="shared" si="10"/>
        <v>112</v>
      </c>
      <c r="B128" s="21" t="s">
        <v>605</v>
      </c>
      <c r="C128" s="15">
        <f t="shared" si="17"/>
        <v>0</v>
      </c>
      <c r="D128" s="15">
        <f t="shared" si="12"/>
        <v>4644124.4</v>
      </c>
      <c r="E128" s="15"/>
      <c r="F128" s="15"/>
      <c r="G128" s="15">
        <f t="shared" si="13"/>
        <v>2322062</v>
      </c>
      <c r="H128" s="15"/>
      <c r="I128" s="15">
        <f t="shared" si="16"/>
        <v>0</v>
      </c>
      <c r="J128" s="15">
        <f t="shared" si="16"/>
        <v>0</v>
      </c>
      <c r="K128" s="15">
        <f t="shared" si="16"/>
        <v>0</v>
      </c>
      <c r="L128" s="15">
        <f t="shared" si="16"/>
        <v>2322062.2</v>
      </c>
      <c r="M128" s="15">
        <f t="shared" si="16"/>
        <v>0</v>
      </c>
      <c r="N128" s="15"/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15"/>
      <c r="U128" s="82">
        <v>0</v>
      </c>
      <c r="V128" s="82">
        <v>0</v>
      </c>
      <c r="W128" s="82">
        <v>0</v>
      </c>
      <c r="X128" s="82">
        <v>4644124.4</v>
      </c>
      <c r="Y128" s="82">
        <v>0</v>
      </c>
    </row>
    <row r="129" spans="1:25" ht="14.25">
      <c r="A129" s="17">
        <f t="shared" si="10"/>
        <v>113</v>
      </c>
      <c r="B129" s="21" t="s">
        <v>606</v>
      </c>
      <c r="C129" s="15">
        <f t="shared" si="17"/>
        <v>0</v>
      </c>
      <c r="D129" s="15">
        <f t="shared" si="12"/>
        <v>1243760.56</v>
      </c>
      <c r="E129" s="15"/>
      <c r="F129" s="15"/>
      <c r="G129" s="15">
        <f t="shared" si="13"/>
        <v>621880</v>
      </c>
      <c r="H129" s="15"/>
      <c r="I129" s="15">
        <f t="shared" si="16"/>
        <v>0</v>
      </c>
      <c r="J129" s="15">
        <f t="shared" si="16"/>
        <v>0</v>
      </c>
      <c r="K129" s="15">
        <f t="shared" si="16"/>
        <v>0</v>
      </c>
      <c r="L129" s="15">
        <f t="shared" si="16"/>
        <v>621880.28</v>
      </c>
      <c r="M129" s="15">
        <f t="shared" si="16"/>
        <v>0</v>
      </c>
      <c r="N129" s="15"/>
      <c r="O129" s="82">
        <v>0</v>
      </c>
      <c r="P129" s="82">
        <v>0</v>
      </c>
      <c r="Q129" s="82">
        <v>0</v>
      </c>
      <c r="R129" s="82">
        <v>0</v>
      </c>
      <c r="S129" s="82">
        <v>0</v>
      </c>
      <c r="T129" s="15"/>
      <c r="U129" s="82">
        <v>0</v>
      </c>
      <c r="V129" s="82">
        <v>0</v>
      </c>
      <c r="W129" s="82">
        <v>0</v>
      </c>
      <c r="X129" s="82">
        <v>1243760.56</v>
      </c>
      <c r="Y129" s="82">
        <v>0</v>
      </c>
    </row>
    <row r="130" spans="1:25" ht="14.25">
      <c r="A130" s="17">
        <f t="shared" si="10"/>
        <v>114</v>
      </c>
      <c r="B130" s="21" t="s">
        <v>607</v>
      </c>
      <c r="C130" s="15">
        <f t="shared" si="17"/>
        <v>0</v>
      </c>
      <c r="D130" s="15">
        <f t="shared" si="12"/>
        <v>7028.380000000001</v>
      </c>
      <c r="E130" s="15"/>
      <c r="F130" s="15"/>
      <c r="G130" s="15">
        <f t="shared" si="13"/>
        <v>3514</v>
      </c>
      <c r="H130" s="15"/>
      <c r="I130" s="15">
        <f t="shared" si="16"/>
        <v>2291.405</v>
      </c>
      <c r="J130" s="15">
        <f t="shared" si="16"/>
        <v>0</v>
      </c>
      <c r="K130" s="15">
        <f t="shared" si="16"/>
        <v>435.545</v>
      </c>
      <c r="L130" s="15">
        <f t="shared" si="16"/>
        <v>787.24</v>
      </c>
      <c r="M130" s="15">
        <f t="shared" si="16"/>
        <v>0</v>
      </c>
      <c r="N130" s="15"/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15"/>
      <c r="U130" s="82">
        <v>4582.81</v>
      </c>
      <c r="V130" s="82">
        <v>0</v>
      </c>
      <c r="W130" s="82">
        <v>871.09</v>
      </c>
      <c r="X130" s="82">
        <v>1574.48</v>
      </c>
      <c r="Y130" s="82">
        <v>0</v>
      </c>
    </row>
    <row r="131" spans="1:25" ht="14.25">
      <c r="A131" s="17">
        <f t="shared" si="10"/>
        <v>115</v>
      </c>
      <c r="B131" s="21" t="s">
        <v>608</v>
      </c>
      <c r="C131" s="15">
        <f t="shared" si="17"/>
        <v>0</v>
      </c>
      <c r="D131" s="15">
        <f t="shared" si="12"/>
        <v>-1358947.8800000001</v>
      </c>
      <c r="E131" s="15"/>
      <c r="F131" s="15"/>
      <c r="G131" s="15">
        <f t="shared" si="13"/>
        <v>-679474</v>
      </c>
      <c r="H131" s="15"/>
      <c r="I131" s="15">
        <f t="shared" si="16"/>
        <v>-437083.145</v>
      </c>
      <c r="J131" s="15">
        <f t="shared" si="16"/>
        <v>0</v>
      </c>
      <c r="K131" s="15">
        <f t="shared" si="16"/>
        <v>-72895.27</v>
      </c>
      <c r="L131" s="15">
        <f t="shared" si="16"/>
        <v>-169495.525</v>
      </c>
      <c r="M131" s="15">
        <f t="shared" si="16"/>
        <v>0</v>
      </c>
      <c r="N131" s="15"/>
      <c r="O131" s="82">
        <v>0</v>
      </c>
      <c r="P131" s="82">
        <v>0</v>
      </c>
      <c r="Q131" s="82">
        <v>0</v>
      </c>
      <c r="R131" s="82">
        <v>0</v>
      </c>
      <c r="S131" s="82">
        <v>0</v>
      </c>
      <c r="T131" s="15"/>
      <c r="U131" s="82">
        <v>-874166.29</v>
      </c>
      <c r="V131" s="82">
        <v>0</v>
      </c>
      <c r="W131" s="82">
        <v>-145790.54</v>
      </c>
      <c r="X131" s="82">
        <v>-338991.05</v>
      </c>
      <c r="Y131" s="82">
        <v>0</v>
      </c>
    </row>
    <row r="132" spans="1:25" ht="14.25">
      <c r="A132" s="17">
        <f t="shared" si="10"/>
        <v>116</v>
      </c>
      <c r="B132" s="21" t="s">
        <v>278</v>
      </c>
      <c r="C132" s="15">
        <f t="shared" si="17"/>
        <v>274072.34</v>
      </c>
      <c r="D132" s="15">
        <f t="shared" si="12"/>
        <v>430731.79</v>
      </c>
      <c r="E132" s="15"/>
      <c r="F132" s="15"/>
      <c r="G132" s="15">
        <f t="shared" si="13"/>
        <v>352402</v>
      </c>
      <c r="H132" s="15"/>
      <c r="I132" s="15">
        <f t="shared" si="16"/>
        <v>0</v>
      </c>
      <c r="J132" s="15">
        <f t="shared" si="16"/>
        <v>352402.065</v>
      </c>
      <c r="K132" s="15">
        <f t="shared" si="16"/>
        <v>0</v>
      </c>
      <c r="L132" s="15">
        <f t="shared" si="16"/>
        <v>0</v>
      </c>
      <c r="M132" s="15">
        <f t="shared" si="16"/>
        <v>0</v>
      </c>
      <c r="N132" s="15"/>
      <c r="O132" s="82">
        <v>0</v>
      </c>
      <c r="P132" s="82">
        <v>274072.34</v>
      </c>
      <c r="Q132" s="82">
        <v>0</v>
      </c>
      <c r="R132" s="82">
        <v>0</v>
      </c>
      <c r="S132" s="82">
        <v>0</v>
      </c>
      <c r="T132" s="15"/>
      <c r="U132" s="82">
        <v>0</v>
      </c>
      <c r="V132" s="82">
        <v>430731.79</v>
      </c>
      <c r="W132" s="82">
        <v>0</v>
      </c>
      <c r="X132" s="82">
        <v>0</v>
      </c>
      <c r="Y132" s="82">
        <v>0</v>
      </c>
    </row>
    <row r="133" spans="1:25" ht="14.25">
      <c r="A133" s="17">
        <f t="shared" si="10"/>
        <v>117</v>
      </c>
      <c r="B133" s="21" t="s">
        <v>279</v>
      </c>
      <c r="C133" s="15">
        <f t="shared" si="17"/>
        <v>-172702.83</v>
      </c>
      <c r="D133" s="15">
        <f t="shared" si="12"/>
        <v>-271458.98</v>
      </c>
      <c r="E133" s="15"/>
      <c r="F133" s="15"/>
      <c r="G133" s="15">
        <f t="shared" si="13"/>
        <v>-222081</v>
      </c>
      <c r="H133" s="15"/>
      <c r="I133" s="15">
        <f t="shared" si="16"/>
        <v>0</v>
      </c>
      <c r="J133" s="15">
        <f t="shared" si="16"/>
        <v>-222080.90499999997</v>
      </c>
      <c r="K133" s="15">
        <f t="shared" si="16"/>
        <v>0</v>
      </c>
      <c r="L133" s="15">
        <f t="shared" si="16"/>
        <v>0</v>
      </c>
      <c r="M133" s="15">
        <f t="shared" si="16"/>
        <v>0</v>
      </c>
      <c r="N133" s="15"/>
      <c r="O133" s="82">
        <v>0</v>
      </c>
      <c r="P133" s="82">
        <v>-172702.83</v>
      </c>
      <c r="Q133" s="82">
        <v>0</v>
      </c>
      <c r="R133" s="82">
        <v>0</v>
      </c>
      <c r="S133" s="82">
        <v>0</v>
      </c>
      <c r="T133" s="15"/>
      <c r="U133" s="82">
        <v>0</v>
      </c>
      <c r="V133" s="82">
        <v>-271458.98</v>
      </c>
      <c r="W133" s="82">
        <v>0</v>
      </c>
      <c r="X133" s="82">
        <v>0</v>
      </c>
      <c r="Y133" s="82">
        <v>0</v>
      </c>
    </row>
    <row r="134" spans="1:25" ht="14.25">
      <c r="A134" s="17">
        <f t="shared" si="10"/>
        <v>118</v>
      </c>
      <c r="B134" s="21" t="s">
        <v>280</v>
      </c>
      <c r="C134" s="15">
        <f t="shared" si="17"/>
        <v>454580.18</v>
      </c>
      <c r="D134" s="15">
        <f t="shared" si="12"/>
        <v>714521.41</v>
      </c>
      <c r="E134" s="15"/>
      <c r="F134" s="15"/>
      <c r="G134" s="15">
        <f t="shared" si="13"/>
        <v>584551</v>
      </c>
      <c r="H134" s="15"/>
      <c r="I134" s="15">
        <f t="shared" si="16"/>
        <v>0</v>
      </c>
      <c r="J134" s="15">
        <f t="shared" si="16"/>
        <v>584550.795</v>
      </c>
      <c r="K134" s="15">
        <f t="shared" si="16"/>
        <v>0</v>
      </c>
      <c r="L134" s="15">
        <f t="shared" si="16"/>
        <v>0</v>
      </c>
      <c r="M134" s="15">
        <f t="shared" si="16"/>
        <v>0</v>
      </c>
      <c r="N134" s="15"/>
      <c r="O134" s="82">
        <v>0</v>
      </c>
      <c r="P134" s="82">
        <v>454580.18</v>
      </c>
      <c r="Q134" s="82">
        <v>0</v>
      </c>
      <c r="R134" s="82">
        <v>0</v>
      </c>
      <c r="S134" s="82">
        <v>0</v>
      </c>
      <c r="T134" s="15"/>
      <c r="U134" s="82">
        <v>0</v>
      </c>
      <c r="V134" s="82">
        <v>714521.41</v>
      </c>
      <c r="W134" s="82">
        <v>0</v>
      </c>
      <c r="X134" s="82">
        <v>0</v>
      </c>
      <c r="Y134" s="82">
        <v>0</v>
      </c>
    </row>
    <row r="135" spans="1:25" ht="14.25">
      <c r="A135" s="17">
        <f t="shared" si="10"/>
        <v>119</v>
      </c>
      <c r="B135" s="14" t="s">
        <v>281</v>
      </c>
      <c r="C135" s="15">
        <f t="shared" si="17"/>
        <v>0</v>
      </c>
      <c r="D135" s="15">
        <f>SUM(U135:Y135)</f>
        <v>0</v>
      </c>
      <c r="E135" s="15"/>
      <c r="F135" s="15"/>
      <c r="G135" s="15">
        <f>ROUND(SUM(C135:F135)/2,0)</f>
        <v>0</v>
      </c>
      <c r="H135" s="15"/>
      <c r="I135" s="15">
        <f t="shared" si="16"/>
        <v>0</v>
      </c>
      <c r="J135" s="15">
        <f t="shared" si="16"/>
        <v>0</v>
      </c>
      <c r="K135" s="15">
        <f t="shared" si="16"/>
        <v>0</v>
      </c>
      <c r="L135" s="15">
        <f t="shared" si="16"/>
        <v>0</v>
      </c>
      <c r="M135" s="15">
        <f t="shared" si="16"/>
        <v>0</v>
      </c>
      <c r="N135" s="15"/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15"/>
      <c r="U135" s="82">
        <v>0</v>
      </c>
      <c r="V135" s="82">
        <v>0</v>
      </c>
      <c r="W135" s="82">
        <v>0</v>
      </c>
      <c r="X135" s="82">
        <v>0</v>
      </c>
      <c r="Y135" s="82">
        <v>0</v>
      </c>
    </row>
    <row r="136" spans="1:25" ht="14.25">
      <c r="A136" s="17">
        <f t="shared" si="10"/>
        <v>120</v>
      </c>
      <c r="B136" s="14" t="s">
        <v>91</v>
      </c>
      <c r="C136" s="15">
        <f>SUM(O136:S136)</f>
        <v>10070.55</v>
      </c>
      <c r="D136" s="15">
        <f>SUM(U136:Y136)</f>
        <v>0</v>
      </c>
      <c r="E136" s="15"/>
      <c r="F136" s="15"/>
      <c r="G136" s="15">
        <f>ROUND(SUM(C136:F136)/2,0)</f>
        <v>5035</v>
      </c>
      <c r="H136" s="15"/>
      <c r="I136" s="15">
        <f t="shared" si="16"/>
        <v>5035.275</v>
      </c>
      <c r="J136" s="15">
        <f t="shared" si="16"/>
        <v>0</v>
      </c>
      <c r="K136" s="15">
        <f t="shared" si="16"/>
        <v>0</v>
      </c>
      <c r="L136" s="15">
        <f t="shared" si="16"/>
        <v>0</v>
      </c>
      <c r="M136" s="15">
        <f t="shared" si="16"/>
        <v>0</v>
      </c>
      <c r="N136" s="15"/>
      <c r="O136" s="82">
        <v>10070.55</v>
      </c>
      <c r="P136" s="82">
        <v>0</v>
      </c>
      <c r="Q136" s="82">
        <v>0</v>
      </c>
      <c r="R136" s="82">
        <v>0</v>
      </c>
      <c r="S136" s="82">
        <v>0</v>
      </c>
      <c r="T136" s="15"/>
      <c r="U136" s="82">
        <v>0</v>
      </c>
      <c r="V136" s="82">
        <v>0</v>
      </c>
      <c r="W136" s="82">
        <v>0</v>
      </c>
      <c r="X136" s="82">
        <v>0</v>
      </c>
      <c r="Y136" s="82">
        <v>0</v>
      </c>
    </row>
    <row r="137" spans="1:25" ht="14.25">
      <c r="A137" s="17">
        <f t="shared" si="10"/>
        <v>121</v>
      </c>
      <c r="B137" s="14" t="s">
        <v>545</v>
      </c>
      <c r="C137" s="15">
        <f>SUM(O137:S137)</f>
        <v>178700.86</v>
      </c>
      <c r="D137" s="15">
        <f>SUM(U137:Y137)</f>
        <v>124611.94</v>
      </c>
      <c r="E137" s="15"/>
      <c r="F137" s="15"/>
      <c r="G137" s="15">
        <f>ROUND(SUM(C137:F137)/2,0)</f>
        <v>151656</v>
      </c>
      <c r="H137" s="15"/>
      <c r="I137" s="15">
        <f t="shared" si="16"/>
        <v>151656.4</v>
      </c>
      <c r="J137" s="15">
        <f t="shared" si="16"/>
        <v>0</v>
      </c>
      <c r="K137" s="15">
        <f t="shared" si="16"/>
        <v>0</v>
      </c>
      <c r="L137" s="15">
        <f t="shared" si="16"/>
        <v>0</v>
      </c>
      <c r="M137" s="15">
        <f t="shared" si="16"/>
        <v>0</v>
      </c>
      <c r="N137" s="15"/>
      <c r="O137" s="82">
        <v>178700.86</v>
      </c>
      <c r="P137" s="82">
        <v>0</v>
      </c>
      <c r="Q137" s="82">
        <v>0</v>
      </c>
      <c r="R137" s="82">
        <v>0</v>
      </c>
      <c r="S137" s="82">
        <v>0</v>
      </c>
      <c r="T137" s="15"/>
      <c r="U137" s="82">
        <v>124611.94</v>
      </c>
      <c r="V137" s="82">
        <v>0</v>
      </c>
      <c r="W137" s="82">
        <v>0</v>
      </c>
      <c r="X137" s="82">
        <v>0</v>
      </c>
      <c r="Y137" s="82">
        <v>0</v>
      </c>
    </row>
    <row r="138" spans="1:25" ht="14.25">
      <c r="A138" s="17">
        <f t="shared" si="10"/>
        <v>122</v>
      </c>
      <c r="B138" s="14" t="s">
        <v>546</v>
      </c>
      <c r="C138" s="15">
        <f>SUM(O138:S138)</f>
        <v>6388.9</v>
      </c>
      <c r="D138" s="15">
        <f>SUM(U138:Y138)</f>
        <v>1071.64</v>
      </c>
      <c r="E138" s="15"/>
      <c r="F138" s="15"/>
      <c r="G138" s="15">
        <f>ROUND(SUM(C138:F138)/2,0)</f>
        <v>3730</v>
      </c>
      <c r="H138" s="15"/>
      <c r="I138" s="15">
        <f t="shared" si="16"/>
        <v>3730.27</v>
      </c>
      <c r="J138" s="15">
        <f t="shared" si="16"/>
        <v>0</v>
      </c>
      <c r="K138" s="15">
        <f t="shared" si="16"/>
        <v>0</v>
      </c>
      <c r="L138" s="15">
        <f t="shared" si="16"/>
        <v>0</v>
      </c>
      <c r="M138" s="15">
        <f t="shared" si="16"/>
        <v>0</v>
      </c>
      <c r="N138" s="15"/>
      <c r="O138" s="82">
        <v>6388.9</v>
      </c>
      <c r="P138" s="82">
        <v>0</v>
      </c>
      <c r="Q138" s="82">
        <v>0</v>
      </c>
      <c r="R138" s="82">
        <v>0</v>
      </c>
      <c r="S138" s="82">
        <v>0</v>
      </c>
      <c r="T138" s="15"/>
      <c r="U138" s="82">
        <v>1071.64</v>
      </c>
      <c r="V138" s="82">
        <v>0</v>
      </c>
      <c r="W138" s="82">
        <v>0</v>
      </c>
      <c r="X138" s="82">
        <v>0</v>
      </c>
      <c r="Y138" s="82">
        <v>0</v>
      </c>
    </row>
    <row r="139" spans="1:25" ht="14.25">
      <c r="A139" s="17">
        <f t="shared" si="10"/>
        <v>123</v>
      </c>
      <c r="B139" s="14" t="s">
        <v>547</v>
      </c>
      <c r="C139" s="15">
        <f>SUM(O139:S139)</f>
        <v>-2462.25</v>
      </c>
      <c r="D139" s="15">
        <f>SUM(U139:Y139)</f>
        <v>-448.91</v>
      </c>
      <c r="E139" s="15"/>
      <c r="F139" s="15"/>
      <c r="G139" s="15">
        <f>ROUND(SUM(C139:F139)/2,0)</f>
        <v>-1456</v>
      </c>
      <c r="H139" s="15"/>
      <c r="I139" s="15">
        <f t="shared" si="16"/>
        <v>-1455.58</v>
      </c>
      <c r="J139" s="15">
        <f t="shared" si="16"/>
        <v>0</v>
      </c>
      <c r="K139" s="15">
        <f t="shared" si="16"/>
        <v>0</v>
      </c>
      <c r="L139" s="15">
        <f t="shared" si="16"/>
        <v>0</v>
      </c>
      <c r="M139" s="15">
        <f t="shared" si="16"/>
        <v>0</v>
      </c>
      <c r="N139" s="15"/>
      <c r="O139" s="82">
        <v>-2462.25</v>
      </c>
      <c r="P139" s="82">
        <v>0</v>
      </c>
      <c r="Q139" s="82">
        <v>0</v>
      </c>
      <c r="R139" s="82">
        <v>0</v>
      </c>
      <c r="S139" s="82">
        <v>0</v>
      </c>
      <c r="T139" s="15"/>
      <c r="U139" s="82">
        <v>-448.91</v>
      </c>
      <c r="V139" s="82">
        <v>0</v>
      </c>
      <c r="W139" s="82">
        <v>0</v>
      </c>
      <c r="X139" s="82">
        <v>0</v>
      </c>
      <c r="Y139" s="82">
        <v>0</v>
      </c>
    </row>
    <row r="140" spans="1:25" ht="14.25">
      <c r="A140" s="17">
        <f t="shared" si="10"/>
        <v>124</v>
      </c>
      <c r="B140" s="14" t="s">
        <v>548</v>
      </c>
      <c r="C140" s="15">
        <f aca="true" t="shared" si="18" ref="C140:C150">SUM(O140:S140)</f>
        <v>2536960.37</v>
      </c>
      <c r="D140" s="15">
        <f aca="true" t="shared" si="19" ref="D140:D150">SUM(U140:Y140)</f>
        <v>2431982.71</v>
      </c>
      <c r="E140" s="15"/>
      <c r="F140" s="15"/>
      <c r="G140" s="15">
        <f aca="true" t="shared" si="20" ref="G140:G187">ROUND(SUM(C140:F140)/2,0)</f>
        <v>2484472</v>
      </c>
      <c r="H140" s="15"/>
      <c r="I140" s="15">
        <f t="shared" si="16"/>
        <v>0</v>
      </c>
      <c r="J140" s="15">
        <f t="shared" si="16"/>
        <v>2484471.54</v>
      </c>
      <c r="K140" s="15">
        <f t="shared" si="16"/>
        <v>0</v>
      </c>
      <c r="L140" s="15">
        <f t="shared" si="16"/>
        <v>0</v>
      </c>
      <c r="M140" s="15">
        <f t="shared" si="16"/>
        <v>0</v>
      </c>
      <c r="N140" s="15"/>
      <c r="O140" s="82">
        <v>0</v>
      </c>
      <c r="P140" s="82">
        <v>2536960.37</v>
      </c>
      <c r="Q140" s="82">
        <v>0</v>
      </c>
      <c r="R140" s="82">
        <v>0</v>
      </c>
      <c r="S140" s="82">
        <v>0</v>
      </c>
      <c r="T140" s="15"/>
      <c r="U140" s="82">
        <v>0</v>
      </c>
      <c r="V140" s="82">
        <v>2431982.71</v>
      </c>
      <c r="W140" s="82">
        <v>0</v>
      </c>
      <c r="X140" s="82">
        <v>0</v>
      </c>
      <c r="Y140" s="82">
        <v>0</v>
      </c>
    </row>
    <row r="141" spans="1:25" ht="14.25">
      <c r="A141" s="17">
        <f t="shared" si="10"/>
        <v>125</v>
      </c>
      <c r="B141" s="14" t="s">
        <v>549</v>
      </c>
      <c r="C141" s="15">
        <f t="shared" si="18"/>
        <v>10339.77</v>
      </c>
      <c r="D141" s="15">
        <f t="shared" si="19"/>
        <v>57987.33</v>
      </c>
      <c r="E141" s="15"/>
      <c r="F141" s="15"/>
      <c r="G141" s="15">
        <f t="shared" si="20"/>
        <v>34164</v>
      </c>
      <c r="H141" s="15"/>
      <c r="I141" s="15">
        <f t="shared" si="16"/>
        <v>0</v>
      </c>
      <c r="J141" s="15">
        <f t="shared" si="16"/>
        <v>34163.55</v>
      </c>
      <c r="K141" s="15">
        <f t="shared" si="16"/>
        <v>0</v>
      </c>
      <c r="L141" s="15">
        <f t="shared" si="16"/>
        <v>0</v>
      </c>
      <c r="M141" s="15">
        <f t="shared" si="16"/>
        <v>0</v>
      </c>
      <c r="N141" s="15"/>
      <c r="O141" s="82">
        <v>0</v>
      </c>
      <c r="P141" s="82">
        <v>10339.77</v>
      </c>
      <c r="Q141" s="82">
        <v>0</v>
      </c>
      <c r="R141" s="82">
        <v>0</v>
      </c>
      <c r="S141" s="82">
        <v>0</v>
      </c>
      <c r="T141" s="15"/>
      <c r="U141" s="82">
        <v>0</v>
      </c>
      <c r="V141" s="82">
        <v>57987.33</v>
      </c>
      <c r="W141" s="82">
        <v>0</v>
      </c>
      <c r="X141" s="82">
        <v>0</v>
      </c>
      <c r="Y141" s="82">
        <v>0</v>
      </c>
    </row>
    <row r="142" spans="1:25" ht="14.25">
      <c r="A142" s="17">
        <f t="shared" si="10"/>
        <v>126</v>
      </c>
      <c r="B142" s="14" t="s">
        <v>550</v>
      </c>
      <c r="C142" s="15">
        <f t="shared" si="18"/>
        <v>75582.79</v>
      </c>
      <c r="D142" s="15">
        <f t="shared" si="19"/>
        <v>524688.66</v>
      </c>
      <c r="E142" s="15"/>
      <c r="F142" s="15"/>
      <c r="G142" s="15">
        <f t="shared" si="20"/>
        <v>300136</v>
      </c>
      <c r="H142" s="15"/>
      <c r="I142" s="15">
        <f t="shared" si="16"/>
        <v>0</v>
      </c>
      <c r="J142" s="15">
        <f t="shared" si="16"/>
        <v>300135.72500000003</v>
      </c>
      <c r="K142" s="15">
        <f t="shared" si="16"/>
        <v>0</v>
      </c>
      <c r="L142" s="15">
        <f t="shared" si="16"/>
        <v>0</v>
      </c>
      <c r="M142" s="15">
        <f t="shared" si="16"/>
        <v>0</v>
      </c>
      <c r="N142" s="15"/>
      <c r="O142" s="82">
        <v>0</v>
      </c>
      <c r="P142" s="82">
        <v>75582.79</v>
      </c>
      <c r="Q142" s="82">
        <v>0</v>
      </c>
      <c r="R142" s="82">
        <v>0</v>
      </c>
      <c r="S142" s="82">
        <v>0</v>
      </c>
      <c r="T142" s="15"/>
      <c r="U142" s="82">
        <v>0</v>
      </c>
      <c r="V142" s="82">
        <v>524688.66</v>
      </c>
      <c r="W142" s="82">
        <v>0</v>
      </c>
      <c r="X142" s="82">
        <v>0</v>
      </c>
      <c r="Y142" s="82">
        <v>0</v>
      </c>
    </row>
    <row r="143" spans="1:25" ht="14.25">
      <c r="A143" s="17">
        <f t="shared" si="10"/>
        <v>127</v>
      </c>
      <c r="B143" s="14" t="s">
        <v>551</v>
      </c>
      <c r="C143" s="15">
        <f t="shared" si="18"/>
        <v>-28715.21</v>
      </c>
      <c r="D143" s="15">
        <f t="shared" si="19"/>
        <v>-199338.23</v>
      </c>
      <c r="E143" s="15"/>
      <c r="F143" s="15"/>
      <c r="G143" s="15">
        <f t="shared" si="20"/>
        <v>-114027</v>
      </c>
      <c r="H143" s="15"/>
      <c r="I143" s="15">
        <f t="shared" si="16"/>
        <v>0</v>
      </c>
      <c r="J143" s="15">
        <f t="shared" si="16"/>
        <v>-114026.72</v>
      </c>
      <c r="K143" s="15">
        <f t="shared" si="16"/>
        <v>0</v>
      </c>
      <c r="L143" s="15">
        <f t="shared" si="16"/>
        <v>0</v>
      </c>
      <c r="M143" s="15">
        <f t="shared" si="16"/>
        <v>0</v>
      </c>
      <c r="N143" s="15"/>
      <c r="O143" s="82">
        <v>0</v>
      </c>
      <c r="P143" s="82">
        <v>-28715.21</v>
      </c>
      <c r="Q143" s="82">
        <v>0</v>
      </c>
      <c r="R143" s="82">
        <v>0</v>
      </c>
      <c r="S143" s="82">
        <v>0</v>
      </c>
      <c r="T143" s="15"/>
      <c r="U143" s="82">
        <v>0</v>
      </c>
      <c r="V143" s="82">
        <v>-199338.23</v>
      </c>
      <c r="W143" s="82">
        <v>0</v>
      </c>
      <c r="X143" s="82">
        <v>0</v>
      </c>
      <c r="Y143" s="82">
        <v>0</v>
      </c>
    </row>
    <row r="144" spans="1:25" ht="14.25">
      <c r="A144" s="17">
        <f t="shared" si="10"/>
        <v>128</v>
      </c>
      <c r="B144" s="14" t="s">
        <v>552</v>
      </c>
      <c r="C144" s="15">
        <f t="shared" si="18"/>
        <v>-353530.23</v>
      </c>
      <c r="D144" s="15">
        <f t="shared" si="19"/>
        <v>-777767.15</v>
      </c>
      <c r="E144" s="15"/>
      <c r="F144" s="15"/>
      <c r="G144" s="15">
        <f t="shared" si="20"/>
        <v>-565649</v>
      </c>
      <c r="H144" s="15"/>
      <c r="I144" s="15">
        <f t="shared" si="16"/>
        <v>0</v>
      </c>
      <c r="J144" s="15">
        <f t="shared" si="16"/>
        <v>-565648.69</v>
      </c>
      <c r="K144" s="15">
        <f t="shared" si="16"/>
        <v>0</v>
      </c>
      <c r="L144" s="15">
        <f t="shared" si="16"/>
        <v>0</v>
      </c>
      <c r="M144" s="15">
        <f t="shared" si="16"/>
        <v>0</v>
      </c>
      <c r="N144" s="15"/>
      <c r="O144" s="82">
        <v>0</v>
      </c>
      <c r="P144" s="82">
        <v>-353530.23</v>
      </c>
      <c r="Q144" s="82">
        <v>0</v>
      </c>
      <c r="R144" s="82">
        <v>0</v>
      </c>
      <c r="S144" s="82">
        <v>0</v>
      </c>
      <c r="T144" s="15"/>
      <c r="U144" s="82">
        <v>0</v>
      </c>
      <c r="V144" s="82">
        <v>-777767.15</v>
      </c>
      <c r="W144" s="82">
        <v>0</v>
      </c>
      <c r="X144" s="82">
        <v>0</v>
      </c>
      <c r="Y144" s="82">
        <v>0</v>
      </c>
    </row>
    <row r="145" spans="1:25" ht="14.25">
      <c r="A145" s="17">
        <f t="shared" si="10"/>
        <v>129</v>
      </c>
      <c r="B145" s="14" t="s">
        <v>553</v>
      </c>
      <c r="C145" s="15">
        <f t="shared" si="18"/>
        <v>1005773.41</v>
      </c>
      <c r="D145" s="15">
        <f t="shared" si="19"/>
        <v>2212703.34</v>
      </c>
      <c r="E145" s="15"/>
      <c r="F145" s="15"/>
      <c r="G145" s="15">
        <f t="shared" si="20"/>
        <v>1609238</v>
      </c>
      <c r="H145" s="15"/>
      <c r="I145" s="15">
        <f t="shared" si="16"/>
        <v>0</v>
      </c>
      <c r="J145" s="15">
        <f t="shared" si="16"/>
        <v>1609238.375</v>
      </c>
      <c r="K145" s="15">
        <f t="shared" si="16"/>
        <v>0</v>
      </c>
      <c r="L145" s="15">
        <f t="shared" si="16"/>
        <v>0</v>
      </c>
      <c r="M145" s="15">
        <f t="shared" si="16"/>
        <v>0</v>
      </c>
      <c r="N145" s="15"/>
      <c r="O145" s="82">
        <v>0</v>
      </c>
      <c r="P145" s="82">
        <v>1005773.41</v>
      </c>
      <c r="Q145" s="82">
        <v>0</v>
      </c>
      <c r="R145" s="82">
        <v>0</v>
      </c>
      <c r="S145" s="82">
        <v>0</v>
      </c>
      <c r="T145" s="15"/>
      <c r="U145" s="82">
        <v>0</v>
      </c>
      <c r="V145" s="82">
        <v>2212703.34</v>
      </c>
      <c r="W145" s="82">
        <v>0</v>
      </c>
      <c r="X145" s="82">
        <v>0</v>
      </c>
      <c r="Y145" s="82">
        <v>0</v>
      </c>
    </row>
    <row r="146" spans="1:25" ht="14.25">
      <c r="A146" s="17">
        <f aca="true" t="shared" si="21" ref="A146:A209">A145+1</f>
        <v>130</v>
      </c>
      <c r="B146" s="14" t="s">
        <v>554</v>
      </c>
      <c r="C146" s="15">
        <f t="shared" si="18"/>
        <v>-525145.24</v>
      </c>
      <c r="D146" s="15">
        <f t="shared" si="19"/>
        <v>-241600.8</v>
      </c>
      <c r="E146" s="15"/>
      <c r="F146" s="15"/>
      <c r="G146" s="15">
        <f t="shared" si="20"/>
        <v>-383373</v>
      </c>
      <c r="H146" s="15"/>
      <c r="I146" s="15">
        <f t="shared" si="16"/>
        <v>0</v>
      </c>
      <c r="J146" s="15">
        <f t="shared" si="16"/>
        <v>-383373.02</v>
      </c>
      <c r="K146" s="15">
        <f t="shared" si="16"/>
        <v>0</v>
      </c>
      <c r="L146" s="15">
        <f t="shared" si="16"/>
        <v>0</v>
      </c>
      <c r="M146" s="15">
        <f t="shared" si="16"/>
        <v>0</v>
      </c>
      <c r="N146" s="15"/>
      <c r="O146" s="82">
        <v>0</v>
      </c>
      <c r="P146" s="82">
        <v>-525145.24</v>
      </c>
      <c r="Q146" s="82">
        <v>0</v>
      </c>
      <c r="R146" s="82">
        <v>0</v>
      </c>
      <c r="S146" s="82">
        <v>0</v>
      </c>
      <c r="T146" s="15"/>
      <c r="U146" s="82">
        <v>0</v>
      </c>
      <c r="V146" s="82">
        <v>-241600.8</v>
      </c>
      <c r="W146" s="82">
        <v>0</v>
      </c>
      <c r="X146" s="82">
        <v>0</v>
      </c>
      <c r="Y146" s="82">
        <v>0</v>
      </c>
    </row>
    <row r="147" spans="1:25" ht="14.25">
      <c r="A147" s="17">
        <f t="shared" si="21"/>
        <v>131</v>
      </c>
      <c r="B147" s="14" t="s">
        <v>555</v>
      </c>
      <c r="C147" s="15">
        <f t="shared" si="18"/>
        <v>1355689.9</v>
      </c>
      <c r="D147" s="15">
        <f t="shared" si="19"/>
        <v>431071.3</v>
      </c>
      <c r="E147" s="15"/>
      <c r="F147" s="15"/>
      <c r="G147" s="15">
        <f t="shared" si="20"/>
        <v>893381</v>
      </c>
      <c r="H147" s="15"/>
      <c r="I147" s="15">
        <f t="shared" si="16"/>
        <v>0</v>
      </c>
      <c r="J147" s="15">
        <f t="shared" si="16"/>
        <v>893380.6</v>
      </c>
      <c r="K147" s="15">
        <f t="shared" si="16"/>
        <v>0</v>
      </c>
      <c r="L147" s="15">
        <f t="shared" si="16"/>
        <v>0</v>
      </c>
      <c r="M147" s="15">
        <f t="shared" si="16"/>
        <v>0</v>
      </c>
      <c r="N147" s="15"/>
      <c r="O147" s="82">
        <v>0</v>
      </c>
      <c r="P147" s="82">
        <v>1355689.9</v>
      </c>
      <c r="Q147" s="82">
        <v>0</v>
      </c>
      <c r="R147" s="82">
        <v>0</v>
      </c>
      <c r="S147" s="82">
        <v>0</v>
      </c>
      <c r="T147" s="15"/>
      <c r="U147" s="82">
        <v>0</v>
      </c>
      <c r="V147" s="82">
        <v>431071.3</v>
      </c>
      <c r="W147" s="82">
        <v>0</v>
      </c>
      <c r="X147" s="82">
        <v>0</v>
      </c>
      <c r="Y147" s="82">
        <v>0</v>
      </c>
    </row>
    <row r="148" spans="1:25" ht="14.25">
      <c r="A148" s="17">
        <f t="shared" si="21"/>
        <v>132</v>
      </c>
      <c r="B148" s="14" t="s">
        <v>609</v>
      </c>
      <c r="C148" s="15">
        <f>SUM(O148:S148)</f>
        <v>0</v>
      </c>
      <c r="D148" s="15">
        <f t="shared" si="19"/>
        <v>44452.1</v>
      </c>
      <c r="E148" s="15"/>
      <c r="F148" s="15"/>
      <c r="G148" s="15">
        <f t="shared" si="20"/>
        <v>22226</v>
      </c>
      <c r="H148" s="15"/>
      <c r="I148" s="15">
        <f t="shared" si="16"/>
        <v>0</v>
      </c>
      <c r="J148" s="15">
        <f t="shared" si="16"/>
        <v>22226.05</v>
      </c>
      <c r="K148" s="15">
        <f t="shared" si="16"/>
        <v>0</v>
      </c>
      <c r="L148" s="15">
        <f t="shared" si="16"/>
        <v>0</v>
      </c>
      <c r="M148" s="15">
        <f t="shared" si="16"/>
        <v>0</v>
      </c>
      <c r="N148" s="15"/>
      <c r="O148" s="82">
        <v>0</v>
      </c>
      <c r="P148" s="82">
        <v>0</v>
      </c>
      <c r="Q148" s="82">
        <v>0</v>
      </c>
      <c r="R148" s="82">
        <v>0</v>
      </c>
      <c r="S148" s="82">
        <v>0</v>
      </c>
      <c r="T148" s="15"/>
      <c r="U148" s="82">
        <v>0</v>
      </c>
      <c r="V148" s="82">
        <v>44452.1</v>
      </c>
      <c r="W148" s="82">
        <v>0</v>
      </c>
      <c r="X148" s="82">
        <v>0</v>
      </c>
      <c r="Y148" s="82">
        <v>0</v>
      </c>
    </row>
    <row r="149" spans="1:25" ht="14.25">
      <c r="A149" s="17">
        <f t="shared" si="21"/>
        <v>133</v>
      </c>
      <c r="B149" s="14" t="s">
        <v>556</v>
      </c>
      <c r="C149" s="15">
        <f t="shared" si="18"/>
        <v>81741.49</v>
      </c>
      <c r="D149" s="15">
        <f t="shared" si="19"/>
        <v>57474.77</v>
      </c>
      <c r="E149" s="15"/>
      <c r="F149" s="15"/>
      <c r="G149" s="15">
        <f t="shared" si="20"/>
        <v>69608</v>
      </c>
      <c r="H149" s="15"/>
      <c r="I149" s="15">
        <f t="shared" si="16"/>
        <v>0</v>
      </c>
      <c r="J149" s="15">
        <f t="shared" si="16"/>
        <v>69608.13</v>
      </c>
      <c r="K149" s="15">
        <f t="shared" si="16"/>
        <v>0</v>
      </c>
      <c r="L149" s="15">
        <f t="shared" si="16"/>
        <v>0</v>
      </c>
      <c r="M149" s="15">
        <f t="shared" si="16"/>
        <v>0</v>
      </c>
      <c r="N149" s="15"/>
      <c r="O149" s="82">
        <v>0</v>
      </c>
      <c r="P149" s="82">
        <v>81741.49</v>
      </c>
      <c r="Q149" s="82">
        <v>0</v>
      </c>
      <c r="R149" s="82">
        <v>0</v>
      </c>
      <c r="S149" s="82">
        <v>0</v>
      </c>
      <c r="T149" s="15"/>
      <c r="U149" s="82">
        <v>0</v>
      </c>
      <c r="V149" s="82">
        <v>57474.77</v>
      </c>
      <c r="W149" s="82">
        <v>0</v>
      </c>
      <c r="X149" s="82">
        <v>0</v>
      </c>
      <c r="Y149" s="82">
        <v>0</v>
      </c>
    </row>
    <row r="150" spans="1:25" ht="14.25">
      <c r="A150" s="17">
        <f t="shared" si="21"/>
        <v>134</v>
      </c>
      <c r="B150" s="14" t="s">
        <v>557</v>
      </c>
      <c r="C150" s="15">
        <f t="shared" si="18"/>
        <v>520201.85</v>
      </c>
      <c r="D150" s="15">
        <f t="shared" si="19"/>
        <v>509799.25</v>
      </c>
      <c r="E150" s="15"/>
      <c r="F150" s="15"/>
      <c r="G150" s="15">
        <f t="shared" si="20"/>
        <v>515001</v>
      </c>
      <c r="H150" s="15"/>
      <c r="I150" s="15">
        <f t="shared" si="16"/>
        <v>0</v>
      </c>
      <c r="J150" s="15">
        <f t="shared" si="16"/>
        <v>515000.55</v>
      </c>
      <c r="K150" s="15">
        <f t="shared" si="16"/>
        <v>0</v>
      </c>
      <c r="L150" s="15">
        <f t="shared" si="16"/>
        <v>0</v>
      </c>
      <c r="M150" s="15">
        <f t="shared" si="16"/>
        <v>0</v>
      </c>
      <c r="N150" s="15"/>
      <c r="O150" s="82">
        <v>0</v>
      </c>
      <c r="P150" s="82">
        <v>520201.85</v>
      </c>
      <c r="Q150" s="82">
        <v>0</v>
      </c>
      <c r="R150" s="82">
        <v>0</v>
      </c>
      <c r="S150" s="82">
        <v>0</v>
      </c>
      <c r="T150" s="15"/>
      <c r="U150" s="82">
        <v>0</v>
      </c>
      <c r="V150" s="82">
        <v>509799.25</v>
      </c>
      <c r="W150" s="82">
        <v>0</v>
      </c>
      <c r="X150" s="82">
        <v>0</v>
      </c>
      <c r="Y150" s="82">
        <v>0</v>
      </c>
    </row>
    <row r="151" spans="1:25" ht="14.25">
      <c r="A151" s="17">
        <f t="shared" si="21"/>
        <v>135</v>
      </c>
      <c r="B151" s="14" t="s">
        <v>558</v>
      </c>
      <c r="C151" s="15">
        <f>SUM(O151:S151)</f>
        <v>7680754.42</v>
      </c>
      <c r="D151" s="15">
        <f>SUM(U151:Y151)</f>
        <v>8768473.01</v>
      </c>
      <c r="E151" s="15"/>
      <c r="F151" s="15"/>
      <c r="G151" s="15">
        <f t="shared" si="20"/>
        <v>8224614</v>
      </c>
      <c r="H151" s="15"/>
      <c r="I151" s="15">
        <f t="shared" si="16"/>
        <v>8224613.715</v>
      </c>
      <c r="J151" s="15">
        <f t="shared" si="16"/>
        <v>0</v>
      </c>
      <c r="K151" s="15">
        <f t="shared" si="16"/>
        <v>0</v>
      </c>
      <c r="L151" s="15">
        <f t="shared" si="16"/>
        <v>0</v>
      </c>
      <c r="M151" s="15">
        <f t="shared" si="16"/>
        <v>0</v>
      </c>
      <c r="N151" s="15"/>
      <c r="O151" s="82">
        <v>7680754.42</v>
      </c>
      <c r="P151" s="82">
        <v>0</v>
      </c>
      <c r="Q151" s="82">
        <v>0</v>
      </c>
      <c r="R151" s="82">
        <v>0</v>
      </c>
      <c r="S151" s="82">
        <v>0</v>
      </c>
      <c r="T151" s="15"/>
      <c r="U151" s="82">
        <v>8768473.01</v>
      </c>
      <c r="V151" s="82">
        <v>0</v>
      </c>
      <c r="W151" s="82">
        <v>0</v>
      </c>
      <c r="X151" s="82">
        <v>0</v>
      </c>
      <c r="Y151" s="82">
        <v>0</v>
      </c>
    </row>
    <row r="152" spans="1:25" ht="14.25">
      <c r="A152" s="17">
        <f t="shared" si="21"/>
        <v>136</v>
      </c>
      <c r="B152" s="14" t="s">
        <v>610</v>
      </c>
      <c r="C152" s="15">
        <f aca="true" t="shared" si="22" ref="C152:C162">SUM(O152:S152)</f>
        <v>0</v>
      </c>
      <c r="D152" s="15">
        <f aca="true" t="shared" si="23" ref="D152:D182">SUM(U152:Y152)</f>
        <v>136683.43</v>
      </c>
      <c r="E152" s="15"/>
      <c r="F152" s="15"/>
      <c r="G152" s="15">
        <f t="shared" si="20"/>
        <v>68342</v>
      </c>
      <c r="H152" s="15"/>
      <c r="I152" s="15">
        <f aca="true" t="shared" si="24" ref="I152:M182">(+O152+U152)/2</f>
        <v>0</v>
      </c>
      <c r="J152" s="15">
        <f t="shared" si="24"/>
        <v>68341.715</v>
      </c>
      <c r="K152" s="15">
        <f t="shared" si="24"/>
        <v>0</v>
      </c>
      <c r="L152" s="15">
        <f t="shared" si="24"/>
        <v>0</v>
      </c>
      <c r="M152" s="15">
        <f t="shared" si="24"/>
        <v>0</v>
      </c>
      <c r="N152" s="15"/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15"/>
      <c r="U152" s="82">
        <v>0</v>
      </c>
      <c r="V152" s="82">
        <v>136683.43</v>
      </c>
      <c r="W152" s="82">
        <v>0</v>
      </c>
      <c r="X152" s="82">
        <v>0</v>
      </c>
      <c r="Y152" s="82">
        <v>0</v>
      </c>
    </row>
    <row r="153" spans="1:25" ht="14.25">
      <c r="A153" s="17">
        <f t="shared" si="21"/>
        <v>137</v>
      </c>
      <c r="B153" s="14" t="s">
        <v>611</v>
      </c>
      <c r="C153" s="15">
        <f t="shared" si="22"/>
        <v>0</v>
      </c>
      <c r="D153" s="15">
        <f t="shared" si="23"/>
        <v>9271.64</v>
      </c>
      <c r="E153" s="15"/>
      <c r="F153" s="15"/>
      <c r="G153" s="15">
        <f t="shared" si="20"/>
        <v>4636</v>
      </c>
      <c r="H153" s="15"/>
      <c r="I153" s="15">
        <f t="shared" si="24"/>
        <v>0</v>
      </c>
      <c r="J153" s="15">
        <f t="shared" si="24"/>
        <v>4635.82</v>
      </c>
      <c r="K153" s="15">
        <f t="shared" si="24"/>
        <v>0</v>
      </c>
      <c r="L153" s="15">
        <f t="shared" si="24"/>
        <v>0</v>
      </c>
      <c r="M153" s="15">
        <f t="shared" si="24"/>
        <v>0</v>
      </c>
      <c r="N153" s="15"/>
      <c r="O153" s="82">
        <v>0</v>
      </c>
      <c r="P153" s="82">
        <v>0</v>
      </c>
      <c r="Q153" s="82">
        <v>0</v>
      </c>
      <c r="R153" s="82">
        <v>0</v>
      </c>
      <c r="S153" s="82">
        <v>0</v>
      </c>
      <c r="T153" s="15"/>
      <c r="U153" s="82">
        <v>0</v>
      </c>
      <c r="V153" s="82">
        <v>9271.64</v>
      </c>
      <c r="W153" s="82">
        <v>0</v>
      </c>
      <c r="X153" s="82">
        <v>0</v>
      </c>
      <c r="Y153" s="82">
        <v>0</v>
      </c>
    </row>
    <row r="154" spans="1:25" ht="14.25">
      <c r="A154" s="17">
        <f t="shared" si="21"/>
        <v>138</v>
      </c>
      <c r="B154" s="14" t="s">
        <v>612</v>
      </c>
      <c r="C154" s="15">
        <f t="shared" si="22"/>
        <v>0</v>
      </c>
      <c r="D154" s="15">
        <f t="shared" si="23"/>
        <v>-3641.73</v>
      </c>
      <c r="E154" s="15"/>
      <c r="F154" s="15"/>
      <c r="G154" s="15">
        <f t="shared" si="20"/>
        <v>-1821</v>
      </c>
      <c r="H154" s="15"/>
      <c r="I154" s="15">
        <f t="shared" si="24"/>
        <v>0</v>
      </c>
      <c r="J154" s="15">
        <f t="shared" si="24"/>
        <v>-1820.865</v>
      </c>
      <c r="K154" s="15">
        <f t="shared" si="24"/>
        <v>0</v>
      </c>
      <c r="L154" s="15">
        <f t="shared" si="24"/>
        <v>0</v>
      </c>
      <c r="M154" s="15">
        <f t="shared" si="24"/>
        <v>0</v>
      </c>
      <c r="N154" s="15"/>
      <c r="O154" s="82">
        <v>0</v>
      </c>
      <c r="P154" s="82">
        <v>0</v>
      </c>
      <c r="Q154" s="82">
        <v>0</v>
      </c>
      <c r="R154" s="82">
        <v>0</v>
      </c>
      <c r="S154" s="82">
        <v>0</v>
      </c>
      <c r="T154" s="15"/>
      <c r="U154" s="82">
        <v>0</v>
      </c>
      <c r="V154" s="82">
        <v>-3641.73</v>
      </c>
      <c r="W154" s="82">
        <v>0</v>
      </c>
      <c r="X154" s="82">
        <v>0</v>
      </c>
      <c r="Y154" s="82">
        <v>0</v>
      </c>
    </row>
    <row r="155" spans="1:25" ht="14.25">
      <c r="A155" s="17">
        <f t="shared" si="21"/>
        <v>139</v>
      </c>
      <c r="B155" s="14" t="s">
        <v>613</v>
      </c>
      <c r="C155" s="15">
        <f t="shared" si="22"/>
        <v>0</v>
      </c>
      <c r="D155" s="15">
        <f t="shared" si="23"/>
        <v>1363928.52</v>
      </c>
      <c r="E155" s="15"/>
      <c r="F155" s="15"/>
      <c r="G155" s="15">
        <f t="shared" si="20"/>
        <v>681964</v>
      </c>
      <c r="H155" s="15"/>
      <c r="I155" s="15">
        <f t="shared" si="24"/>
        <v>681964.26</v>
      </c>
      <c r="J155" s="15">
        <f t="shared" si="24"/>
        <v>0</v>
      </c>
      <c r="K155" s="15">
        <f t="shared" si="24"/>
        <v>0</v>
      </c>
      <c r="L155" s="15">
        <f t="shared" si="24"/>
        <v>0</v>
      </c>
      <c r="M155" s="15">
        <f t="shared" si="24"/>
        <v>0</v>
      </c>
      <c r="N155" s="15"/>
      <c r="O155" s="82">
        <v>0</v>
      </c>
      <c r="P155" s="82">
        <v>0</v>
      </c>
      <c r="Q155" s="82">
        <v>0</v>
      </c>
      <c r="R155" s="82">
        <v>0</v>
      </c>
      <c r="S155" s="82">
        <v>0</v>
      </c>
      <c r="T155" s="15"/>
      <c r="U155" s="82">
        <v>1363928.52</v>
      </c>
      <c r="V155" s="82">
        <v>0</v>
      </c>
      <c r="W155" s="82">
        <v>0</v>
      </c>
      <c r="X155" s="82">
        <v>0</v>
      </c>
      <c r="Y155" s="82">
        <v>0</v>
      </c>
    </row>
    <row r="156" spans="1:25" ht="14.25">
      <c r="A156" s="17">
        <f t="shared" si="21"/>
        <v>140</v>
      </c>
      <c r="B156" s="14" t="s">
        <v>614</v>
      </c>
      <c r="C156" s="15">
        <f t="shared" si="22"/>
        <v>0</v>
      </c>
      <c r="D156" s="15">
        <f t="shared" si="23"/>
        <v>169514.93</v>
      </c>
      <c r="E156" s="15"/>
      <c r="F156" s="15"/>
      <c r="G156" s="15">
        <f t="shared" si="20"/>
        <v>84757</v>
      </c>
      <c r="H156" s="15"/>
      <c r="I156" s="15">
        <f t="shared" si="24"/>
        <v>84757.465</v>
      </c>
      <c r="J156" s="15">
        <f t="shared" si="24"/>
        <v>0</v>
      </c>
      <c r="K156" s="15">
        <f t="shared" si="24"/>
        <v>0</v>
      </c>
      <c r="L156" s="15">
        <f t="shared" si="24"/>
        <v>0</v>
      </c>
      <c r="M156" s="15">
        <f t="shared" si="24"/>
        <v>0</v>
      </c>
      <c r="N156" s="15"/>
      <c r="O156" s="82">
        <v>0</v>
      </c>
      <c r="P156" s="82">
        <v>0</v>
      </c>
      <c r="Q156" s="82">
        <v>0</v>
      </c>
      <c r="R156" s="82">
        <v>0</v>
      </c>
      <c r="S156" s="82">
        <v>0</v>
      </c>
      <c r="T156" s="15"/>
      <c r="U156" s="82">
        <v>169514.93</v>
      </c>
      <c r="V156" s="82">
        <v>0</v>
      </c>
      <c r="W156" s="82">
        <v>0</v>
      </c>
      <c r="X156" s="82">
        <v>0</v>
      </c>
      <c r="Y156" s="82">
        <v>0</v>
      </c>
    </row>
    <row r="157" spans="1:25" ht="14.25">
      <c r="A157" s="17">
        <f t="shared" si="21"/>
        <v>141</v>
      </c>
      <c r="B157" s="14" t="s">
        <v>615</v>
      </c>
      <c r="C157" s="15">
        <f t="shared" si="22"/>
        <v>0</v>
      </c>
      <c r="D157" s="15">
        <f t="shared" si="23"/>
        <v>42378.77</v>
      </c>
      <c r="E157" s="15"/>
      <c r="F157" s="15"/>
      <c r="G157" s="15">
        <f t="shared" si="20"/>
        <v>21189</v>
      </c>
      <c r="H157" s="15"/>
      <c r="I157" s="15">
        <f t="shared" si="24"/>
        <v>21189.385</v>
      </c>
      <c r="J157" s="15">
        <f t="shared" si="24"/>
        <v>0</v>
      </c>
      <c r="K157" s="15">
        <f t="shared" si="24"/>
        <v>0</v>
      </c>
      <c r="L157" s="15">
        <f t="shared" si="24"/>
        <v>0</v>
      </c>
      <c r="M157" s="15">
        <f t="shared" si="24"/>
        <v>0</v>
      </c>
      <c r="N157" s="15"/>
      <c r="O157" s="82">
        <v>0</v>
      </c>
      <c r="P157" s="82">
        <v>0</v>
      </c>
      <c r="Q157" s="82">
        <v>0</v>
      </c>
      <c r="R157" s="82">
        <v>0</v>
      </c>
      <c r="S157" s="82">
        <v>0</v>
      </c>
      <c r="T157" s="15"/>
      <c r="U157" s="82">
        <v>42378.77</v>
      </c>
      <c r="V157" s="82">
        <v>0</v>
      </c>
      <c r="W157" s="82">
        <v>0</v>
      </c>
      <c r="X157" s="82">
        <v>0</v>
      </c>
      <c r="Y157" s="82">
        <v>0</v>
      </c>
    </row>
    <row r="158" spans="1:25" ht="14.25">
      <c r="A158" s="17">
        <f t="shared" si="21"/>
        <v>142</v>
      </c>
      <c r="B158" s="14" t="s">
        <v>616</v>
      </c>
      <c r="C158" s="15">
        <f t="shared" si="22"/>
        <v>0</v>
      </c>
      <c r="D158" s="15">
        <f t="shared" si="23"/>
        <v>123874.45</v>
      </c>
      <c r="E158" s="15"/>
      <c r="F158" s="15"/>
      <c r="G158" s="15">
        <f t="shared" si="20"/>
        <v>61937</v>
      </c>
      <c r="H158" s="15"/>
      <c r="I158" s="15">
        <f t="shared" si="24"/>
        <v>61937.225</v>
      </c>
      <c r="J158" s="15">
        <f t="shared" si="24"/>
        <v>0</v>
      </c>
      <c r="K158" s="15">
        <f t="shared" si="24"/>
        <v>0</v>
      </c>
      <c r="L158" s="15">
        <f t="shared" si="24"/>
        <v>0</v>
      </c>
      <c r="M158" s="15">
        <f t="shared" si="24"/>
        <v>0</v>
      </c>
      <c r="N158" s="15"/>
      <c r="O158" s="82">
        <v>0</v>
      </c>
      <c r="P158" s="82">
        <v>0</v>
      </c>
      <c r="Q158" s="82">
        <v>0</v>
      </c>
      <c r="R158" s="82">
        <v>0</v>
      </c>
      <c r="S158" s="82">
        <v>0</v>
      </c>
      <c r="T158" s="15"/>
      <c r="U158" s="82">
        <v>123874.45</v>
      </c>
      <c r="V158" s="82">
        <v>0</v>
      </c>
      <c r="W158" s="82">
        <v>0</v>
      </c>
      <c r="X158" s="82">
        <v>0</v>
      </c>
      <c r="Y158" s="82">
        <v>0</v>
      </c>
    </row>
    <row r="159" spans="1:25" ht="14.25">
      <c r="A159" s="17">
        <f t="shared" si="21"/>
        <v>143</v>
      </c>
      <c r="B159" s="14" t="s">
        <v>617</v>
      </c>
      <c r="C159" s="15">
        <f t="shared" si="22"/>
        <v>0</v>
      </c>
      <c r="D159" s="15">
        <f t="shared" si="23"/>
        <v>-85790.6</v>
      </c>
      <c r="E159" s="15"/>
      <c r="F159" s="15"/>
      <c r="G159" s="15">
        <f t="shared" si="20"/>
        <v>-42895</v>
      </c>
      <c r="H159" s="15"/>
      <c r="I159" s="15">
        <f t="shared" si="24"/>
        <v>-42895.3</v>
      </c>
      <c r="J159" s="15">
        <f t="shared" si="24"/>
        <v>0</v>
      </c>
      <c r="K159" s="15">
        <f t="shared" si="24"/>
        <v>0</v>
      </c>
      <c r="L159" s="15">
        <f t="shared" si="24"/>
        <v>0</v>
      </c>
      <c r="M159" s="15">
        <f t="shared" si="24"/>
        <v>0</v>
      </c>
      <c r="N159" s="15"/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15"/>
      <c r="U159" s="82">
        <v>-85790.6</v>
      </c>
      <c r="V159" s="82">
        <v>0</v>
      </c>
      <c r="W159" s="82">
        <v>0</v>
      </c>
      <c r="X159" s="82">
        <v>0</v>
      </c>
      <c r="Y159" s="82">
        <v>0</v>
      </c>
    </row>
    <row r="160" spans="1:25" ht="14.25">
      <c r="A160" s="17">
        <f t="shared" si="21"/>
        <v>144</v>
      </c>
      <c r="B160" s="14" t="s">
        <v>618</v>
      </c>
      <c r="C160" s="15">
        <f t="shared" si="22"/>
        <v>0</v>
      </c>
      <c r="D160" s="15">
        <f t="shared" si="23"/>
        <v>30967.65</v>
      </c>
      <c r="E160" s="15"/>
      <c r="F160" s="15"/>
      <c r="G160" s="15">
        <f t="shared" si="20"/>
        <v>15484</v>
      </c>
      <c r="H160" s="15"/>
      <c r="I160" s="15">
        <f t="shared" si="24"/>
        <v>15483.825</v>
      </c>
      <c r="J160" s="15">
        <f t="shared" si="24"/>
        <v>0</v>
      </c>
      <c r="K160" s="15">
        <f t="shared" si="24"/>
        <v>0</v>
      </c>
      <c r="L160" s="15">
        <f t="shared" si="24"/>
        <v>0</v>
      </c>
      <c r="M160" s="15">
        <f t="shared" si="24"/>
        <v>0</v>
      </c>
      <c r="N160" s="15"/>
      <c r="O160" s="82">
        <v>0</v>
      </c>
      <c r="P160" s="82">
        <v>0</v>
      </c>
      <c r="Q160" s="82">
        <v>0</v>
      </c>
      <c r="R160" s="82">
        <v>0</v>
      </c>
      <c r="S160" s="82">
        <v>0</v>
      </c>
      <c r="T160" s="15"/>
      <c r="U160" s="82">
        <v>30967.65</v>
      </c>
      <c r="V160" s="82">
        <v>0</v>
      </c>
      <c r="W160" s="82">
        <v>0</v>
      </c>
      <c r="X160" s="82">
        <v>0</v>
      </c>
      <c r="Y160" s="82">
        <v>0</v>
      </c>
    </row>
    <row r="161" spans="1:25" ht="14.25">
      <c r="A161" s="17">
        <f t="shared" si="21"/>
        <v>145</v>
      </c>
      <c r="B161" s="14" t="s">
        <v>619</v>
      </c>
      <c r="C161" s="15">
        <f t="shared" si="22"/>
        <v>0</v>
      </c>
      <c r="D161" s="15">
        <f t="shared" si="23"/>
        <v>-21447.65</v>
      </c>
      <c r="E161" s="15"/>
      <c r="F161" s="15"/>
      <c r="G161" s="15">
        <f t="shared" si="20"/>
        <v>-10724</v>
      </c>
      <c r="H161" s="15"/>
      <c r="I161" s="15">
        <f t="shared" si="24"/>
        <v>-10723.825</v>
      </c>
      <c r="J161" s="15">
        <f t="shared" si="24"/>
        <v>0</v>
      </c>
      <c r="K161" s="15">
        <f t="shared" si="24"/>
        <v>0</v>
      </c>
      <c r="L161" s="15">
        <f t="shared" si="24"/>
        <v>0</v>
      </c>
      <c r="M161" s="15">
        <f t="shared" si="24"/>
        <v>0</v>
      </c>
      <c r="N161" s="15"/>
      <c r="O161" s="82">
        <v>0</v>
      </c>
      <c r="P161" s="82">
        <v>0</v>
      </c>
      <c r="Q161" s="82">
        <v>0</v>
      </c>
      <c r="R161" s="82">
        <v>0</v>
      </c>
      <c r="S161" s="82">
        <v>0</v>
      </c>
      <c r="T161" s="15"/>
      <c r="U161" s="82">
        <v>-21447.65</v>
      </c>
      <c r="V161" s="82">
        <v>0</v>
      </c>
      <c r="W161" s="82">
        <v>0</v>
      </c>
      <c r="X161" s="82">
        <v>0</v>
      </c>
      <c r="Y161" s="82">
        <v>0</v>
      </c>
    </row>
    <row r="162" spans="1:25" ht="14.25">
      <c r="A162" s="17">
        <f t="shared" si="21"/>
        <v>146</v>
      </c>
      <c r="B162" s="14" t="s">
        <v>102</v>
      </c>
      <c r="C162" s="15">
        <f t="shared" si="22"/>
        <v>10096597.1</v>
      </c>
      <c r="D162" s="15">
        <f t="shared" si="23"/>
        <v>9028354.75</v>
      </c>
      <c r="E162" s="15"/>
      <c r="F162" s="15"/>
      <c r="G162" s="15">
        <f t="shared" si="20"/>
        <v>9562476</v>
      </c>
      <c r="H162" s="15"/>
      <c r="I162" s="15">
        <f t="shared" si="24"/>
        <v>7742298.550000001</v>
      </c>
      <c r="J162" s="15">
        <f t="shared" si="24"/>
        <v>757899.275</v>
      </c>
      <c r="K162" s="15">
        <f t="shared" si="24"/>
        <v>85020.775</v>
      </c>
      <c r="L162" s="15">
        <f t="shared" si="24"/>
        <v>977257.325</v>
      </c>
      <c r="M162" s="15">
        <f t="shared" si="24"/>
        <v>0</v>
      </c>
      <c r="N162" s="15"/>
      <c r="O162" s="82">
        <v>8207573.15</v>
      </c>
      <c r="P162" s="82">
        <v>852700.8</v>
      </c>
      <c r="Q162" s="82">
        <v>86328.2</v>
      </c>
      <c r="R162" s="82">
        <v>949994.95</v>
      </c>
      <c r="S162" s="82">
        <v>0</v>
      </c>
      <c r="T162" s="15"/>
      <c r="U162" s="82">
        <v>7277023.95</v>
      </c>
      <c r="V162" s="82">
        <v>663097.75</v>
      </c>
      <c r="W162" s="82">
        <v>83713.35</v>
      </c>
      <c r="X162" s="82">
        <v>1004519.7</v>
      </c>
      <c r="Y162" s="82">
        <v>0</v>
      </c>
    </row>
    <row r="163" spans="1:25" ht="14.25">
      <c r="A163" s="17">
        <f t="shared" si="21"/>
        <v>147</v>
      </c>
      <c r="B163" s="5" t="s">
        <v>282</v>
      </c>
      <c r="C163" s="15">
        <f aca="true" t="shared" si="25" ref="C163:C182">SUM(O163:S163)</f>
        <v>9850803.129999999</v>
      </c>
      <c r="D163" s="15">
        <f t="shared" si="23"/>
        <v>11557744.73</v>
      </c>
      <c r="E163" s="15"/>
      <c r="F163" s="15"/>
      <c r="G163" s="15">
        <f t="shared" si="20"/>
        <v>10704274</v>
      </c>
      <c r="H163" s="15"/>
      <c r="I163" s="15">
        <f t="shared" si="24"/>
        <v>1725563.0299999998</v>
      </c>
      <c r="J163" s="15">
        <f t="shared" si="24"/>
        <v>4130825.675</v>
      </c>
      <c r="K163" s="15">
        <f t="shared" si="24"/>
        <v>1365574.71</v>
      </c>
      <c r="L163" s="15">
        <f t="shared" si="24"/>
        <v>3482310.515</v>
      </c>
      <c r="M163" s="15">
        <f t="shared" si="24"/>
        <v>0</v>
      </c>
      <c r="N163" s="15"/>
      <c r="O163" s="82">
        <v>1675642.18</v>
      </c>
      <c r="P163" s="82">
        <v>3872073.3</v>
      </c>
      <c r="Q163" s="82">
        <v>1256259.91</v>
      </c>
      <c r="R163" s="82">
        <v>3046827.74</v>
      </c>
      <c r="S163" s="82">
        <v>0</v>
      </c>
      <c r="T163" s="15"/>
      <c r="U163" s="82">
        <v>1775483.88</v>
      </c>
      <c r="V163" s="82">
        <v>4389578.05</v>
      </c>
      <c r="W163" s="82">
        <v>1474889.51</v>
      </c>
      <c r="X163" s="82">
        <v>3917793.29</v>
      </c>
      <c r="Y163" s="82">
        <v>0</v>
      </c>
    </row>
    <row r="164" spans="1:25" ht="14.25">
      <c r="A164" s="17">
        <f t="shared" si="21"/>
        <v>148</v>
      </c>
      <c r="B164" s="5" t="s">
        <v>283</v>
      </c>
      <c r="C164" s="15">
        <f t="shared" si="25"/>
        <v>140081976.29</v>
      </c>
      <c r="D164" s="15">
        <f t="shared" si="23"/>
        <v>169338709.39</v>
      </c>
      <c r="E164" s="15"/>
      <c r="F164" s="15"/>
      <c r="G164" s="15">
        <f t="shared" si="20"/>
        <v>154710343</v>
      </c>
      <c r="H164" s="15"/>
      <c r="I164" s="15">
        <f t="shared" si="24"/>
        <v>0</v>
      </c>
      <c r="J164" s="15">
        <f t="shared" si="24"/>
        <v>154710342.83999997</v>
      </c>
      <c r="K164" s="15">
        <f t="shared" si="24"/>
        <v>0</v>
      </c>
      <c r="L164" s="15">
        <f t="shared" si="24"/>
        <v>0</v>
      </c>
      <c r="M164" s="15">
        <f t="shared" si="24"/>
        <v>0</v>
      </c>
      <c r="N164" s="15"/>
      <c r="O164" s="82">
        <v>0</v>
      </c>
      <c r="P164" s="83">
        <v>140081976.29</v>
      </c>
      <c r="Q164" s="82">
        <v>0</v>
      </c>
      <c r="R164" s="82">
        <v>0</v>
      </c>
      <c r="S164" s="82">
        <v>0</v>
      </c>
      <c r="T164" s="15"/>
      <c r="U164" s="82">
        <v>0</v>
      </c>
      <c r="V164" s="82">
        <v>169338709.39</v>
      </c>
      <c r="W164" s="82">
        <v>0</v>
      </c>
      <c r="X164" s="82">
        <v>0</v>
      </c>
      <c r="Y164" s="82">
        <v>0</v>
      </c>
    </row>
    <row r="165" spans="1:25" ht="14.25">
      <c r="A165" s="17">
        <f t="shared" si="21"/>
        <v>149</v>
      </c>
      <c r="B165" s="14" t="s">
        <v>284</v>
      </c>
      <c r="C165" s="15">
        <f t="shared" si="25"/>
        <v>-124739483.08</v>
      </c>
      <c r="D165" s="15">
        <f t="shared" si="23"/>
        <v>-149043186.89</v>
      </c>
      <c r="E165" s="15"/>
      <c r="F165" s="15"/>
      <c r="G165" s="15">
        <f t="shared" si="20"/>
        <v>-136891335</v>
      </c>
      <c r="H165" s="15"/>
      <c r="I165" s="15">
        <f t="shared" si="24"/>
        <v>0</v>
      </c>
      <c r="J165" s="15">
        <f t="shared" si="24"/>
        <v>-136891334.98499998</v>
      </c>
      <c r="K165" s="15">
        <f t="shared" si="24"/>
        <v>0</v>
      </c>
      <c r="L165" s="15">
        <f t="shared" si="24"/>
        <v>0</v>
      </c>
      <c r="M165" s="15">
        <f t="shared" si="24"/>
        <v>0</v>
      </c>
      <c r="N165" s="15"/>
      <c r="O165" s="82">
        <v>0</v>
      </c>
      <c r="P165" s="82">
        <v>-124739483.08</v>
      </c>
      <c r="Q165" s="82">
        <v>0</v>
      </c>
      <c r="R165" s="82">
        <v>0</v>
      </c>
      <c r="S165" s="82">
        <v>0</v>
      </c>
      <c r="T165" s="15"/>
      <c r="U165" s="82">
        <v>0</v>
      </c>
      <c r="V165" s="82">
        <v>-149043186.89</v>
      </c>
      <c r="W165" s="82">
        <v>0</v>
      </c>
      <c r="X165" s="82">
        <v>0</v>
      </c>
      <c r="Y165" s="82">
        <v>0</v>
      </c>
    </row>
    <row r="166" spans="1:25" ht="14.25">
      <c r="A166" s="17">
        <f t="shared" si="21"/>
        <v>150</v>
      </c>
      <c r="B166" s="5" t="s">
        <v>285</v>
      </c>
      <c r="C166" s="15">
        <f t="shared" si="25"/>
        <v>155162825.81</v>
      </c>
      <c r="D166" s="15">
        <f t="shared" si="23"/>
        <v>166721853.71</v>
      </c>
      <c r="E166" s="15"/>
      <c r="F166" s="15"/>
      <c r="G166" s="15">
        <f t="shared" si="20"/>
        <v>160942340</v>
      </c>
      <c r="H166" s="15"/>
      <c r="I166" s="15">
        <f t="shared" si="24"/>
        <v>0</v>
      </c>
      <c r="J166" s="15">
        <f t="shared" si="24"/>
        <v>160942339.76</v>
      </c>
      <c r="K166" s="15">
        <f t="shared" si="24"/>
        <v>0</v>
      </c>
      <c r="L166" s="15">
        <f t="shared" si="24"/>
        <v>0</v>
      </c>
      <c r="M166" s="15">
        <f t="shared" si="24"/>
        <v>0</v>
      </c>
      <c r="N166" s="15"/>
      <c r="O166" s="82">
        <v>0</v>
      </c>
      <c r="P166" s="82">
        <v>155162825.81</v>
      </c>
      <c r="Q166" s="82">
        <v>0</v>
      </c>
      <c r="R166" s="82">
        <v>0</v>
      </c>
      <c r="S166" s="82">
        <v>0</v>
      </c>
      <c r="T166" s="15"/>
      <c r="U166" s="82">
        <v>0</v>
      </c>
      <c r="V166" s="82">
        <v>166721853.71</v>
      </c>
      <c r="W166" s="82">
        <v>0</v>
      </c>
      <c r="X166" s="82">
        <v>0</v>
      </c>
      <c r="Y166" s="82">
        <v>0</v>
      </c>
    </row>
    <row r="167" spans="1:25" ht="14.25">
      <c r="A167" s="17">
        <f t="shared" si="21"/>
        <v>151</v>
      </c>
      <c r="B167" s="14" t="s">
        <v>286</v>
      </c>
      <c r="C167" s="15">
        <f t="shared" si="25"/>
        <v>-137736697.75</v>
      </c>
      <c r="D167" s="15">
        <f t="shared" si="23"/>
        <v>-163573190.25</v>
      </c>
      <c r="E167" s="15"/>
      <c r="F167" s="15"/>
      <c r="G167" s="15">
        <f t="shared" si="20"/>
        <v>-150654944</v>
      </c>
      <c r="H167" s="15"/>
      <c r="I167" s="15">
        <f t="shared" si="24"/>
        <v>0</v>
      </c>
      <c r="J167" s="15">
        <f t="shared" si="24"/>
        <v>-150654944</v>
      </c>
      <c r="K167" s="15">
        <f t="shared" si="24"/>
        <v>0</v>
      </c>
      <c r="L167" s="15">
        <f t="shared" si="24"/>
        <v>0</v>
      </c>
      <c r="M167" s="15">
        <f t="shared" si="24"/>
        <v>0</v>
      </c>
      <c r="N167" s="15"/>
      <c r="O167" s="82">
        <v>0</v>
      </c>
      <c r="P167" s="82">
        <v>-137736697.75</v>
      </c>
      <c r="Q167" s="82">
        <v>0</v>
      </c>
      <c r="R167" s="82">
        <v>0</v>
      </c>
      <c r="S167" s="82">
        <v>0</v>
      </c>
      <c r="T167" s="15"/>
      <c r="U167" s="82">
        <v>0</v>
      </c>
      <c r="V167" s="82">
        <v>-163573190.25</v>
      </c>
      <c r="W167" s="82">
        <v>0</v>
      </c>
      <c r="X167" s="82">
        <v>0</v>
      </c>
      <c r="Y167" s="82">
        <v>0</v>
      </c>
    </row>
    <row r="168" spans="1:25" ht="14.25">
      <c r="A168" s="17">
        <f t="shared" si="21"/>
        <v>152</v>
      </c>
      <c r="B168" s="14" t="s">
        <v>287</v>
      </c>
      <c r="C168" s="15">
        <f t="shared" si="25"/>
        <v>568291673.32</v>
      </c>
      <c r="D168" s="15">
        <f t="shared" si="23"/>
        <v>625662871.95</v>
      </c>
      <c r="E168" s="15"/>
      <c r="F168" s="15"/>
      <c r="G168" s="15">
        <f t="shared" si="20"/>
        <v>596977273</v>
      </c>
      <c r="H168" s="15"/>
      <c r="I168" s="15">
        <f t="shared" si="24"/>
        <v>0</v>
      </c>
      <c r="J168" s="15">
        <f t="shared" si="24"/>
        <v>596977272.635</v>
      </c>
      <c r="K168" s="15">
        <f t="shared" si="24"/>
        <v>0</v>
      </c>
      <c r="L168" s="15">
        <f t="shared" si="24"/>
        <v>0</v>
      </c>
      <c r="M168" s="15">
        <f t="shared" si="24"/>
        <v>0</v>
      </c>
      <c r="N168" s="15"/>
      <c r="O168" s="82">
        <v>0</v>
      </c>
      <c r="P168" s="82">
        <v>568291673.32</v>
      </c>
      <c r="Q168" s="82">
        <v>0</v>
      </c>
      <c r="R168" s="82">
        <v>0</v>
      </c>
      <c r="S168" s="82">
        <v>0</v>
      </c>
      <c r="T168" s="15"/>
      <c r="U168" s="82">
        <v>0</v>
      </c>
      <c r="V168" s="82">
        <v>625662871.95</v>
      </c>
      <c r="W168" s="82">
        <v>0</v>
      </c>
      <c r="X168" s="82">
        <v>0</v>
      </c>
      <c r="Y168" s="82">
        <v>0</v>
      </c>
    </row>
    <row r="169" spans="1:25" ht="14.25">
      <c r="A169" s="17">
        <f t="shared" si="21"/>
        <v>153</v>
      </c>
      <c r="B169" s="5" t="s">
        <v>288</v>
      </c>
      <c r="C169" s="15">
        <f t="shared" si="25"/>
        <v>8088963.9</v>
      </c>
      <c r="D169" s="15">
        <f t="shared" si="23"/>
        <v>10339841.96</v>
      </c>
      <c r="E169" s="15"/>
      <c r="F169" s="15"/>
      <c r="G169" s="15">
        <f t="shared" si="20"/>
        <v>9214403</v>
      </c>
      <c r="H169" s="15"/>
      <c r="I169" s="15">
        <f t="shared" si="24"/>
        <v>0</v>
      </c>
      <c r="J169" s="15">
        <f t="shared" si="24"/>
        <v>9214402.93</v>
      </c>
      <c r="K169" s="15">
        <f t="shared" si="24"/>
        <v>0</v>
      </c>
      <c r="L169" s="15">
        <f t="shared" si="24"/>
        <v>0</v>
      </c>
      <c r="M169" s="15">
        <f t="shared" si="24"/>
        <v>0</v>
      </c>
      <c r="N169" s="15"/>
      <c r="O169" s="82">
        <v>0</v>
      </c>
      <c r="P169" s="82">
        <v>8088963.9</v>
      </c>
      <c r="Q169" s="82">
        <v>0</v>
      </c>
      <c r="R169" s="82">
        <v>0</v>
      </c>
      <c r="S169" s="82">
        <v>0</v>
      </c>
      <c r="T169" s="15"/>
      <c r="U169" s="82">
        <v>0</v>
      </c>
      <c r="V169" s="82">
        <v>10339841.96</v>
      </c>
      <c r="W169" s="82">
        <v>0</v>
      </c>
      <c r="X169" s="82">
        <v>0</v>
      </c>
      <c r="Y169" s="82">
        <v>0</v>
      </c>
    </row>
    <row r="170" spans="1:25" ht="14.25">
      <c r="A170" s="17">
        <f t="shared" si="21"/>
        <v>154</v>
      </c>
      <c r="B170" s="5" t="s">
        <v>289</v>
      </c>
      <c r="C170" s="15">
        <f t="shared" si="25"/>
        <v>12203767.57</v>
      </c>
      <c r="D170" s="15">
        <f t="shared" si="23"/>
        <v>2964361.42</v>
      </c>
      <c r="E170" s="15"/>
      <c r="F170" s="15"/>
      <c r="G170" s="15">
        <f t="shared" si="20"/>
        <v>7584064</v>
      </c>
      <c r="H170" s="15"/>
      <c r="I170" s="15">
        <f t="shared" si="24"/>
        <v>0</v>
      </c>
      <c r="J170" s="15">
        <f t="shared" si="24"/>
        <v>7584064.495</v>
      </c>
      <c r="K170" s="15">
        <f t="shared" si="24"/>
        <v>0</v>
      </c>
      <c r="L170" s="15">
        <f t="shared" si="24"/>
        <v>0</v>
      </c>
      <c r="M170" s="15">
        <f t="shared" si="24"/>
        <v>0</v>
      </c>
      <c r="N170" s="15"/>
      <c r="O170" s="82">
        <v>0</v>
      </c>
      <c r="P170" s="82">
        <v>12203767.57</v>
      </c>
      <c r="Q170" s="82">
        <v>0</v>
      </c>
      <c r="R170" s="82">
        <v>0</v>
      </c>
      <c r="S170" s="82">
        <v>0</v>
      </c>
      <c r="T170" s="15"/>
      <c r="U170" s="82">
        <v>0</v>
      </c>
      <c r="V170" s="82">
        <v>2964361.42</v>
      </c>
      <c r="W170" s="82">
        <v>0</v>
      </c>
      <c r="X170" s="82">
        <v>0</v>
      </c>
      <c r="Y170" s="82">
        <v>0</v>
      </c>
    </row>
    <row r="171" spans="1:25" ht="14.25">
      <c r="A171" s="17">
        <f t="shared" si="21"/>
        <v>155</v>
      </c>
      <c r="B171" s="5" t="s">
        <v>290</v>
      </c>
      <c r="C171" s="15">
        <f t="shared" si="25"/>
        <v>-0.15</v>
      </c>
      <c r="D171" s="15">
        <f t="shared" si="23"/>
        <v>-0.15</v>
      </c>
      <c r="E171" s="15"/>
      <c r="F171" s="15"/>
      <c r="G171" s="15">
        <f t="shared" si="20"/>
        <v>0</v>
      </c>
      <c r="H171" s="15"/>
      <c r="I171" s="15">
        <f t="shared" si="24"/>
        <v>0</v>
      </c>
      <c r="J171" s="15">
        <f t="shared" si="24"/>
        <v>-0.15</v>
      </c>
      <c r="K171" s="15">
        <f t="shared" si="24"/>
        <v>0</v>
      </c>
      <c r="L171" s="15">
        <f t="shared" si="24"/>
        <v>0</v>
      </c>
      <c r="M171" s="15">
        <f t="shared" si="24"/>
        <v>0</v>
      </c>
      <c r="N171" s="15"/>
      <c r="O171" s="82">
        <v>0</v>
      </c>
      <c r="P171" s="82">
        <v>-0.15</v>
      </c>
      <c r="Q171" s="82">
        <v>0</v>
      </c>
      <c r="R171" s="82">
        <v>0</v>
      </c>
      <c r="S171" s="82">
        <v>0</v>
      </c>
      <c r="T171" s="15"/>
      <c r="U171" s="82">
        <v>0</v>
      </c>
      <c r="V171" s="82">
        <v>-0.15</v>
      </c>
      <c r="W171" s="82">
        <v>0</v>
      </c>
      <c r="X171" s="82">
        <v>0</v>
      </c>
      <c r="Y171" s="82">
        <v>0</v>
      </c>
    </row>
    <row r="172" spans="1:25" ht="14.25">
      <c r="A172" s="17">
        <f t="shared" si="21"/>
        <v>156</v>
      </c>
      <c r="B172" s="5" t="s">
        <v>103</v>
      </c>
      <c r="C172" s="15">
        <f t="shared" si="25"/>
        <v>6756689.9</v>
      </c>
      <c r="D172" s="15">
        <f t="shared" si="23"/>
        <v>3979742.84</v>
      </c>
      <c r="E172" s="15"/>
      <c r="F172" s="15"/>
      <c r="G172" s="15">
        <f t="shared" si="20"/>
        <v>5368216</v>
      </c>
      <c r="H172" s="15"/>
      <c r="I172" s="15">
        <f t="shared" si="24"/>
        <v>1111424.025</v>
      </c>
      <c r="J172" s="15">
        <f t="shared" si="24"/>
        <v>2704815.245</v>
      </c>
      <c r="K172" s="15">
        <f t="shared" si="24"/>
        <v>718184.3200000001</v>
      </c>
      <c r="L172" s="15">
        <f t="shared" si="24"/>
        <v>833792.78</v>
      </c>
      <c r="M172" s="15">
        <f t="shared" si="24"/>
        <v>0</v>
      </c>
      <c r="N172" s="15"/>
      <c r="O172" s="82">
        <v>1461210.95</v>
      </c>
      <c r="P172" s="82">
        <v>3670442.2</v>
      </c>
      <c r="Q172" s="82">
        <v>751667.41</v>
      </c>
      <c r="R172" s="82">
        <v>873369.34</v>
      </c>
      <c r="S172" s="82">
        <v>0</v>
      </c>
      <c r="T172" s="15"/>
      <c r="U172" s="82">
        <v>761637.1</v>
      </c>
      <c r="V172" s="82">
        <v>1739188.29</v>
      </c>
      <c r="W172" s="82">
        <v>684701.23</v>
      </c>
      <c r="X172" s="82">
        <v>794216.22</v>
      </c>
      <c r="Y172" s="82">
        <v>0</v>
      </c>
    </row>
    <row r="173" spans="1:25" ht="14.25">
      <c r="A173" s="17">
        <f t="shared" si="21"/>
        <v>157</v>
      </c>
      <c r="B173" s="5" t="s">
        <v>291</v>
      </c>
      <c r="C173" s="15">
        <f t="shared" si="25"/>
        <v>651902.52</v>
      </c>
      <c r="D173" s="15">
        <f t="shared" si="23"/>
        <v>579468.82</v>
      </c>
      <c r="E173" s="15"/>
      <c r="F173" s="15"/>
      <c r="G173" s="15">
        <f t="shared" si="20"/>
        <v>615686</v>
      </c>
      <c r="H173" s="15"/>
      <c r="I173" s="15">
        <f t="shared" si="24"/>
        <v>615685.6699999999</v>
      </c>
      <c r="J173" s="15">
        <f t="shared" si="24"/>
        <v>0</v>
      </c>
      <c r="K173" s="15">
        <f t="shared" si="24"/>
        <v>0</v>
      </c>
      <c r="L173" s="15">
        <f t="shared" si="24"/>
        <v>0</v>
      </c>
      <c r="M173" s="15">
        <f t="shared" si="24"/>
        <v>0</v>
      </c>
      <c r="N173" s="15"/>
      <c r="O173" s="82">
        <v>651902.52</v>
      </c>
      <c r="P173" s="82">
        <v>0</v>
      </c>
      <c r="Q173" s="82">
        <v>0</v>
      </c>
      <c r="R173" s="82">
        <v>0</v>
      </c>
      <c r="S173" s="82">
        <v>0</v>
      </c>
      <c r="T173" s="15"/>
      <c r="U173" s="82">
        <v>579468.82</v>
      </c>
      <c r="V173" s="82">
        <v>0</v>
      </c>
      <c r="W173" s="82">
        <v>0</v>
      </c>
      <c r="X173" s="82">
        <v>0</v>
      </c>
      <c r="Y173" s="82">
        <v>0</v>
      </c>
    </row>
    <row r="174" spans="1:25" ht="14.25">
      <c r="A174" s="17">
        <f t="shared" si="21"/>
        <v>158</v>
      </c>
      <c r="B174" s="5" t="s">
        <v>292</v>
      </c>
      <c r="C174" s="15">
        <f t="shared" si="25"/>
        <v>7715.2</v>
      </c>
      <c r="D174" s="15">
        <f t="shared" si="23"/>
        <v>7715.2</v>
      </c>
      <c r="E174" s="15"/>
      <c r="F174" s="15"/>
      <c r="G174" s="15">
        <f t="shared" si="20"/>
        <v>7715</v>
      </c>
      <c r="H174" s="15"/>
      <c r="I174" s="15">
        <f t="shared" si="24"/>
        <v>-0.27</v>
      </c>
      <c r="J174" s="15">
        <f t="shared" si="24"/>
        <v>0.31</v>
      </c>
      <c r="K174" s="15">
        <f t="shared" si="24"/>
        <v>0.37</v>
      </c>
      <c r="L174" s="15">
        <f t="shared" si="24"/>
        <v>7714.79</v>
      </c>
      <c r="M174" s="15">
        <f t="shared" si="24"/>
        <v>0</v>
      </c>
      <c r="N174" s="15"/>
      <c r="O174" s="82">
        <v>-0.27</v>
      </c>
      <c r="P174" s="82">
        <v>0.31</v>
      </c>
      <c r="Q174" s="82">
        <v>0.37</v>
      </c>
      <c r="R174" s="82">
        <v>7714.79</v>
      </c>
      <c r="S174" s="82">
        <v>0</v>
      </c>
      <c r="T174" s="15"/>
      <c r="U174" s="82">
        <v>-0.27</v>
      </c>
      <c r="V174" s="82">
        <v>0.31</v>
      </c>
      <c r="W174" s="82">
        <v>0.37</v>
      </c>
      <c r="X174" s="82">
        <v>7714.79</v>
      </c>
      <c r="Y174" s="82">
        <v>0</v>
      </c>
    </row>
    <row r="175" spans="1:25" ht="14.25">
      <c r="A175" s="17">
        <f t="shared" si="21"/>
        <v>159</v>
      </c>
      <c r="B175" s="5" t="s">
        <v>293</v>
      </c>
      <c r="C175" s="15">
        <f t="shared" si="25"/>
        <v>-7714.95</v>
      </c>
      <c r="D175" s="15">
        <f t="shared" si="23"/>
        <v>-7714.95</v>
      </c>
      <c r="E175" s="15"/>
      <c r="F175" s="15"/>
      <c r="G175" s="15">
        <f t="shared" si="20"/>
        <v>-7715</v>
      </c>
      <c r="H175" s="15"/>
      <c r="I175" s="15">
        <f t="shared" si="24"/>
        <v>0</v>
      </c>
      <c r="J175" s="15">
        <f t="shared" si="24"/>
        <v>0.05</v>
      </c>
      <c r="K175" s="15">
        <f t="shared" si="24"/>
        <v>0</v>
      </c>
      <c r="L175" s="15">
        <f t="shared" si="24"/>
        <v>-7715</v>
      </c>
      <c r="M175" s="15">
        <f t="shared" si="24"/>
        <v>0</v>
      </c>
      <c r="N175" s="15"/>
      <c r="O175" s="82">
        <v>0</v>
      </c>
      <c r="P175" s="82">
        <v>0.05</v>
      </c>
      <c r="Q175" s="82">
        <v>0</v>
      </c>
      <c r="R175" s="82">
        <v>-7715</v>
      </c>
      <c r="S175" s="82">
        <v>0</v>
      </c>
      <c r="T175" s="15"/>
      <c r="U175" s="82">
        <v>0</v>
      </c>
      <c r="V175" s="82">
        <v>0.05</v>
      </c>
      <c r="W175" s="82">
        <v>0</v>
      </c>
      <c r="X175" s="82">
        <v>-7715</v>
      </c>
      <c r="Y175" s="82">
        <v>0</v>
      </c>
    </row>
    <row r="176" spans="1:25" ht="14.25">
      <c r="A176" s="17">
        <f t="shared" si="21"/>
        <v>160</v>
      </c>
      <c r="B176" s="14" t="s">
        <v>104</v>
      </c>
      <c r="C176" s="15">
        <f t="shared" si="25"/>
        <v>-211271.23</v>
      </c>
      <c r="D176" s="15">
        <f t="shared" si="23"/>
        <v>-211271.23</v>
      </c>
      <c r="E176" s="15"/>
      <c r="F176" s="15"/>
      <c r="G176" s="15">
        <f t="shared" si="20"/>
        <v>-211271</v>
      </c>
      <c r="H176" s="15"/>
      <c r="I176" s="15">
        <f t="shared" si="24"/>
        <v>0.38</v>
      </c>
      <c r="J176" s="15">
        <f t="shared" si="24"/>
        <v>-0.24</v>
      </c>
      <c r="K176" s="15">
        <f t="shared" si="24"/>
        <v>-45000.37</v>
      </c>
      <c r="L176" s="15">
        <f t="shared" si="24"/>
        <v>-166271</v>
      </c>
      <c r="M176" s="15">
        <f t="shared" si="24"/>
        <v>0</v>
      </c>
      <c r="N176" s="15"/>
      <c r="O176" s="82">
        <v>0.38</v>
      </c>
      <c r="P176" s="82">
        <v>-0.24</v>
      </c>
      <c r="Q176" s="82">
        <v>-45000.37</v>
      </c>
      <c r="R176" s="82">
        <v>-166271</v>
      </c>
      <c r="S176" s="82">
        <v>0</v>
      </c>
      <c r="T176" s="15"/>
      <c r="U176" s="82">
        <v>0.38</v>
      </c>
      <c r="V176" s="82">
        <v>-0.24</v>
      </c>
      <c r="W176" s="82">
        <v>-45000.37</v>
      </c>
      <c r="X176" s="82">
        <v>-166271</v>
      </c>
      <c r="Y176" s="82">
        <v>0</v>
      </c>
    </row>
    <row r="177" spans="1:25" ht="14.25">
      <c r="A177" s="17">
        <f t="shared" si="21"/>
        <v>161</v>
      </c>
      <c r="B177" s="14" t="s">
        <v>294</v>
      </c>
      <c r="C177" s="15">
        <f t="shared" si="25"/>
        <v>-10881016.61</v>
      </c>
      <c r="D177" s="15">
        <f t="shared" si="23"/>
        <v>-10881016.61</v>
      </c>
      <c r="E177" s="15"/>
      <c r="F177" s="15"/>
      <c r="G177" s="15">
        <f t="shared" si="20"/>
        <v>-10881017</v>
      </c>
      <c r="H177" s="15"/>
      <c r="I177" s="15">
        <f t="shared" si="24"/>
        <v>-2186654.4</v>
      </c>
      <c r="J177" s="15">
        <f t="shared" si="24"/>
        <v>-4704448.35</v>
      </c>
      <c r="K177" s="15">
        <f t="shared" si="24"/>
        <v>-523074.3</v>
      </c>
      <c r="L177" s="15">
        <f t="shared" si="24"/>
        <v>-3466839.56</v>
      </c>
      <c r="M177" s="15">
        <f t="shared" si="24"/>
        <v>0</v>
      </c>
      <c r="N177" s="15"/>
      <c r="O177" s="82">
        <v>-2186654.4</v>
      </c>
      <c r="P177" s="82">
        <v>-4704448.35</v>
      </c>
      <c r="Q177" s="82">
        <v>-523074.3</v>
      </c>
      <c r="R177" s="82">
        <v>-3466839.56</v>
      </c>
      <c r="S177" s="82">
        <v>0</v>
      </c>
      <c r="T177" s="15"/>
      <c r="U177" s="82">
        <v>-2186654.4</v>
      </c>
      <c r="V177" s="82">
        <v>-4704448.35</v>
      </c>
      <c r="W177" s="82">
        <v>-523074.3</v>
      </c>
      <c r="X177" s="82">
        <v>-3466839.56</v>
      </c>
      <c r="Y177" s="82">
        <v>0</v>
      </c>
    </row>
    <row r="178" spans="1:25" ht="14.25">
      <c r="A178" s="17">
        <f t="shared" si="21"/>
        <v>162</v>
      </c>
      <c r="B178" s="14" t="s">
        <v>559</v>
      </c>
      <c r="C178" s="15">
        <f>SUM(O178:S178)</f>
        <v>3927518.83</v>
      </c>
      <c r="D178" s="15">
        <f>SUM(U178:Y178)</f>
        <v>3570471.66</v>
      </c>
      <c r="E178" s="15"/>
      <c r="F178" s="15"/>
      <c r="G178" s="15">
        <f t="shared" si="20"/>
        <v>3748995</v>
      </c>
      <c r="H178" s="15"/>
      <c r="I178" s="15">
        <f t="shared" si="24"/>
        <v>754413.94</v>
      </c>
      <c r="J178" s="15">
        <f t="shared" si="24"/>
        <v>1346014.335</v>
      </c>
      <c r="K178" s="15">
        <f t="shared" si="24"/>
        <v>259614.195</v>
      </c>
      <c r="L178" s="15">
        <f t="shared" si="24"/>
        <v>1388952.775</v>
      </c>
      <c r="M178" s="15">
        <f t="shared" si="24"/>
        <v>0</v>
      </c>
      <c r="N178" s="15"/>
      <c r="O178" s="82">
        <v>790338.41</v>
      </c>
      <c r="P178" s="82">
        <v>1410110.26</v>
      </c>
      <c r="Q178" s="82">
        <v>271976.77</v>
      </c>
      <c r="R178" s="82">
        <v>1455093.39</v>
      </c>
      <c r="S178" s="82">
        <v>0</v>
      </c>
      <c r="T178" s="15"/>
      <c r="U178" s="82">
        <v>718489.47</v>
      </c>
      <c r="V178" s="82">
        <v>1281918.41</v>
      </c>
      <c r="W178" s="82">
        <v>247251.62</v>
      </c>
      <c r="X178" s="82">
        <v>1322812.16</v>
      </c>
      <c r="Y178" s="82">
        <v>0</v>
      </c>
    </row>
    <row r="179" spans="1:25" ht="14.25">
      <c r="A179" s="17">
        <f t="shared" si="21"/>
        <v>163</v>
      </c>
      <c r="B179" s="5" t="s">
        <v>295</v>
      </c>
      <c r="C179" s="15">
        <f t="shared" si="25"/>
        <v>0.04999999999999999</v>
      </c>
      <c r="D179" s="15">
        <f t="shared" si="23"/>
        <v>0.04999999999999999</v>
      </c>
      <c r="E179" s="15"/>
      <c r="F179" s="15"/>
      <c r="G179" s="15">
        <f t="shared" si="20"/>
        <v>0</v>
      </c>
      <c r="H179" s="15"/>
      <c r="I179" s="15">
        <f t="shared" si="24"/>
        <v>-0.05</v>
      </c>
      <c r="J179" s="15">
        <f t="shared" si="24"/>
        <v>-0.1</v>
      </c>
      <c r="K179" s="15">
        <f t="shared" si="24"/>
        <v>0.1</v>
      </c>
      <c r="L179" s="15">
        <f t="shared" si="24"/>
        <v>0.1</v>
      </c>
      <c r="M179" s="15">
        <f t="shared" si="24"/>
        <v>0</v>
      </c>
      <c r="N179" s="15"/>
      <c r="O179" s="82">
        <v>-0.05</v>
      </c>
      <c r="P179" s="82">
        <v>-0.1</v>
      </c>
      <c r="Q179" s="82">
        <v>0.1</v>
      </c>
      <c r="R179" s="82">
        <v>0.1</v>
      </c>
      <c r="S179" s="82">
        <v>0</v>
      </c>
      <c r="T179" s="15"/>
      <c r="U179" s="82">
        <v>-0.05</v>
      </c>
      <c r="V179" s="82">
        <v>-0.1</v>
      </c>
      <c r="W179" s="82">
        <v>0.1</v>
      </c>
      <c r="X179" s="82">
        <v>0.1</v>
      </c>
      <c r="Y179" s="82">
        <v>0</v>
      </c>
    </row>
    <row r="180" spans="1:25" ht="14.25">
      <c r="A180" s="17">
        <f t="shared" si="21"/>
        <v>164</v>
      </c>
      <c r="B180" s="5" t="s">
        <v>296</v>
      </c>
      <c r="C180" s="15">
        <f t="shared" si="25"/>
        <v>0.06999999999999995</v>
      </c>
      <c r="D180" s="15">
        <f t="shared" si="23"/>
        <v>0.06999999999999995</v>
      </c>
      <c r="E180" s="15"/>
      <c r="F180" s="15"/>
      <c r="G180" s="15">
        <f t="shared" si="20"/>
        <v>0</v>
      </c>
      <c r="H180" s="15"/>
      <c r="I180" s="15">
        <f t="shared" si="24"/>
        <v>-0.39</v>
      </c>
      <c r="J180" s="15">
        <f t="shared" si="24"/>
        <v>0</v>
      </c>
      <c r="K180" s="15">
        <f t="shared" si="24"/>
        <v>0.6</v>
      </c>
      <c r="L180" s="15">
        <f t="shared" si="24"/>
        <v>-0.14</v>
      </c>
      <c r="M180" s="15">
        <f t="shared" si="24"/>
        <v>0</v>
      </c>
      <c r="N180" s="15"/>
      <c r="O180" s="82">
        <v>-0.39</v>
      </c>
      <c r="P180" s="82">
        <v>0</v>
      </c>
      <c r="Q180" s="82">
        <v>0.6</v>
      </c>
      <c r="R180" s="82">
        <v>-0.14</v>
      </c>
      <c r="S180" s="82">
        <v>0</v>
      </c>
      <c r="T180" s="15"/>
      <c r="U180" s="82">
        <v>-0.39</v>
      </c>
      <c r="V180" s="82">
        <v>0</v>
      </c>
      <c r="W180" s="82">
        <v>0.6</v>
      </c>
      <c r="X180" s="82">
        <v>-0.14</v>
      </c>
      <c r="Y180" s="82">
        <v>0</v>
      </c>
    </row>
    <row r="181" spans="1:25" ht="14.25">
      <c r="A181" s="17">
        <f t="shared" si="21"/>
        <v>165</v>
      </c>
      <c r="B181" s="5" t="s">
        <v>105</v>
      </c>
      <c r="C181" s="15">
        <f t="shared" si="25"/>
        <v>1750434.77</v>
      </c>
      <c r="D181" s="15">
        <f t="shared" si="23"/>
        <v>2096778.9800000002</v>
      </c>
      <c r="E181" s="15"/>
      <c r="F181" s="15"/>
      <c r="G181" s="15">
        <f t="shared" si="20"/>
        <v>1923607</v>
      </c>
      <c r="H181" s="15"/>
      <c r="I181" s="15">
        <f t="shared" si="24"/>
        <v>512363.46499999997</v>
      </c>
      <c r="J181" s="15">
        <f t="shared" si="24"/>
        <v>989359.915</v>
      </c>
      <c r="K181" s="15">
        <f t="shared" si="24"/>
        <v>81451.08499999999</v>
      </c>
      <c r="L181" s="15">
        <f t="shared" si="24"/>
        <v>340432.41000000003</v>
      </c>
      <c r="M181" s="15">
        <f t="shared" si="24"/>
        <v>0</v>
      </c>
      <c r="N181" s="15"/>
      <c r="O181" s="82">
        <v>418124.23</v>
      </c>
      <c r="P181" s="82">
        <v>1069391.97</v>
      </c>
      <c r="Q181" s="82">
        <v>82029.56</v>
      </c>
      <c r="R181" s="82">
        <v>180889.01</v>
      </c>
      <c r="S181" s="82">
        <v>0</v>
      </c>
      <c r="T181" s="15"/>
      <c r="U181" s="82">
        <v>606602.7</v>
      </c>
      <c r="V181" s="82">
        <v>909327.86</v>
      </c>
      <c r="W181" s="82">
        <v>80872.61</v>
      </c>
      <c r="X181" s="82">
        <v>499975.81</v>
      </c>
      <c r="Y181" s="82">
        <v>0</v>
      </c>
    </row>
    <row r="182" spans="1:25" ht="14.25">
      <c r="A182" s="17">
        <f t="shared" si="21"/>
        <v>166</v>
      </c>
      <c r="B182" s="14" t="s">
        <v>297</v>
      </c>
      <c r="C182" s="15">
        <f t="shared" si="25"/>
        <v>177550.8</v>
      </c>
      <c r="D182" s="15">
        <f t="shared" si="23"/>
        <v>177550.8</v>
      </c>
      <c r="E182" s="15"/>
      <c r="F182" s="15"/>
      <c r="G182" s="15">
        <f t="shared" si="20"/>
        <v>177551</v>
      </c>
      <c r="H182" s="15"/>
      <c r="I182" s="15">
        <f t="shared" si="24"/>
        <v>177550.8</v>
      </c>
      <c r="J182" s="15">
        <f t="shared" si="24"/>
        <v>0</v>
      </c>
      <c r="K182" s="15">
        <f t="shared" si="24"/>
        <v>0</v>
      </c>
      <c r="L182" s="15">
        <f t="shared" si="24"/>
        <v>0</v>
      </c>
      <c r="M182" s="15">
        <f t="shared" si="24"/>
        <v>0</v>
      </c>
      <c r="N182" s="15"/>
      <c r="O182" s="82">
        <v>177550.8</v>
      </c>
      <c r="P182" s="82">
        <v>0</v>
      </c>
      <c r="Q182" s="82">
        <v>0</v>
      </c>
      <c r="R182" s="82">
        <v>0</v>
      </c>
      <c r="S182" s="82">
        <v>0</v>
      </c>
      <c r="T182" s="15"/>
      <c r="U182" s="82">
        <v>177550.8</v>
      </c>
      <c r="V182" s="82">
        <v>0</v>
      </c>
      <c r="W182" s="82">
        <v>0</v>
      </c>
      <c r="X182" s="82">
        <v>0</v>
      </c>
      <c r="Y182" s="82">
        <v>0</v>
      </c>
    </row>
    <row r="183" spans="1:25" ht="14.25">
      <c r="A183" s="17">
        <f t="shared" si="21"/>
        <v>167</v>
      </c>
      <c r="B183" s="5" t="s">
        <v>32</v>
      </c>
      <c r="C183" s="81">
        <v>4885525.34</v>
      </c>
      <c r="D183" s="81">
        <f>2593695.52+0.08</f>
        <v>2593695.6</v>
      </c>
      <c r="E183" s="15">
        <f aca="true" t="shared" si="26" ref="E183:F186">-C183</f>
        <v>-4885525.34</v>
      </c>
      <c r="F183" s="15">
        <f t="shared" si="26"/>
        <v>-2593695.6</v>
      </c>
      <c r="G183" s="15">
        <f t="shared" si="20"/>
        <v>0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4.25">
      <c r="A184" s="17">
        <f t="shared" si="21"/>
        <v>168</v>
      </c>
      <c r="B184" s="5" t="s">
        <v>107</v>
      </c>
      <c r="C184" s="81">
        <v>96975875.59</v>
      </c>
      <c r="D184" s="81">
        <v>97449386.96</v>
      </c>
      <c r="E184" s="15">
        <f t="shared" si="26"/>
        <v>-96975875.59</v>
      </c>
      <c r="F184" s="15">
        <f t="shared" si="26"/>
        <v>-97449386.96</v>
      </c>
      <c r="G184" s="15">
        <f t="shared" si="20"/>
        <v>0</v>
      </c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4.25">
      <c r="A185" s="17">
        <f t="shared" si="21"/>
        <v>169</v>
      </c>
      <c r="B185" s="5" t="s">
        <v>108</v>
      </c>
      <c r="C185" s="81">
        <v>310</v>
      </c>
      <c r="D185" s="81">
        <v>310</v>
      </c>
      <c r="E185" s="15">
        <f t="shared" si="26"/>
        <v>-310</v>
      </c>
      <c r="F185" s="15">
        <f t="shared" si="26"/>
        <v>-310</v>
      </c>
      <c r="G185" s="15">
        <f t="shared" si="20"/>
        <v>0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4.25">
      <c r="A186" s="17">
        <f t="shared" si="21"/>
        <v>170</v>
      </c>
      <c r="B186" s="5" t="s">
        <v>620</v>
      </c>
      <c r="C186" s="81">
        <v>91968.51</v>
      </c>
      <c r="D186" s="81">
        <v>0</v>
      </c>
      <c r="E186" s="15">
        <f t="shared" si="26"/>
        <v>-91968.51</v>
      </c>
      <c r="F186" s="15">
        <f t="shared" si="26"/>
        <v>0</v>
      </c>
      <c r="G186" s="15">
        <f t="shared" si="20"/>
        <v>0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4.25">
      <c r="A187" s="17">
        <f t="shared" si="21"/>
        <v>171</v>
      </c>
      <c r="B187" s="14" t="s">
        <v>621</v>
      </c>
      <c r="C187" s="81">
        <v>257311.38</v>
      </c>
      <c r="D187" s="81">
        <v>123061.86</v>
      </c>
      <c r="E187" s="15">
        <f>-C187</f>
        <v>-257311.38</v>
      </c>
      <c r="F187" s="15">
        <f>-D187</f>
        <v>-123061.86</v>
      </c>
      <c r="G187" s="15">
        <f t="shared" si="20"/>
        <v>0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4.25">
      <c r="A188" s="17">
        <f t="shared" si="21"/>
        <v>172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5" thickBot="1">
      <c r="A189" s="17">
        <f t="shared" si="21"/>
        <v>173</v>
      </c>
      <c r="B189" s="5"/>
      <c r="C189" s="18">
        <f>SUM(C88:C188)</f>
        <v>826685172.24</v>
      </c>
      <c r="D189" s="18">
        <f>SUM(D88:D188)</f>
        <v>877353504.5000001</v>
      </c>
      <c r="E189" s="18">
        <f>SUM(E88:E188)</f>
        <v>-102210990.82000001</v>
      </c>
      <c r="F189" s="18">
        <f>SUM(F88:F188)</f>
        <v>-100166454.41999999</v>
      </c>
      <c r="G189" s="18">
        <f>SUM(G88:G188)</f>
        <v>750830615</v>
      </c>
      <c r="H189" s="18"/>
      <c r="I189" s="18">
        <f>SUM(I88:I188)</f>
        <v>55891396.71500002</v>
      </c>
      <c r="J189" s="18">
        <f>SUM(J88:J188)</f>
        <v>659826439.0599998</v>
      </c>
      <c r="K189" s="18">
        <f>SUM(K88:K188)</f>
        <v>6290127.330000002</v>
      </c>
      <c r="L189" s="18">
        <f>SUM(L88:L188)</f>
        <v>28822652.645000007</v>
      </c>
      <c r="M189" s="18">
        <f>SUM(M88:M188)</f>
        <v>0</v>
      </c>
      <c r="N189" s="18"/>
      <c r="O189" s="18">
        <f>SUM(O88:O188)</f>
        <v>52916496.57999999</v>
      </c>
      <c r="P189" s="18">
        <f>SUM(P88:P188)</f>
        <v>639370863.08</v>
      </c>
      <c r="Q189" s="18">
        <f>SUM(Q88:Q188)</f>
        <v>6173495.62</v>
      </c>
      <c r="R189" s="18">
        <f>SUM(R88:R188)</f>
        <v>26013326.140000004</v>
      </c>
      <c r="S189" s="18">
        <f>SUM(S88:S188)</f>
        <v>0</v>
      </c>
      <c r="T189" s="15"/>
      <c r="U189" s="18">
        <f>SUM(U88:U188)</f>
        <v>58866296.850000024</v>
      </c>
      <c r="V189" s="18">
        <f>SUM(V88:V188)</f>
        <v>680282015.0399998</v>
      </c>
      <c r="W189" s="18">
        <f>SUM(W88:W188)</f>
        <v>6406759.04</v>
      </c>
      <c r="X189" s="18">
        <f>SUM(X88:X188)</f>
        <v>31631979.149999995</v>
      </c>
      <c r="Y189" s="18">
        <f>SUM(Y88:Y188)</f>
        <v>0</v>
      </c>
    </row>
    <row r="190" spans="1:25" ht="15" thickTop="1">
      <c r="A190" s="17">
        <f t="shared" si="21"/>
        <v>174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5"/>
      <c r="U190" s="19"/>
      <c r="V190" s="19"/>
      <c r="W190" s="19"/>
      <c r="X190" s="19"/>
      <c r="Y190" s="19"/>
    </row>
    <row r="191" spans="1:25" ht="14.25">
      <c r="A191" s="17">
        <f t="shared" si="21"/>
        <v>175</v>
      </c>
      <c r="C191" s="15"/>
      <c r="D191" s="15" t="s">
        <v>67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4.25">
      <c r="A192" s="17">
        <f t="shared" si="21"/>
        <v>176</v>
      </c>
      <c r="B192" s="14" t="s">
        <v>112</v>
      </c>
      <c r="C192" s="15">
        <f>SUM(O192:S192)</f>
        <v>-3907968</v>
      </c>
      <c r="D192" s="15">
        <f>SUM(U192:Y192)</f>
        <v>0</v>
      </c>
      <c r="E192" s="15"/>
      <c r="F192" s="15"/>
      <c r="G192" s="15">
        <f>ROUND(SUM(C192:F192)/2,0)</f>
        <v>-1953984</v>
      </c>
      <c r="H192" s="15"/>
      <c r="I192" s="15">
        <f>(+O192+U192)/2</f>
        <v>12709979</v>
      </c>
      <c r="J192" s="15">
        <f>(+P192+V192)/2</f>
        <v>-17251613.5</v>
      </c>
      <c r="K192" s="15">
        <f>(+Q192+W192)/2</f>
        <v>2779994.5</v>
      </c>
      <c r="L192" s="15">
        <f>(+R192+X192)/2</f>
        <v>-192344</v>
      </c>
      <c r="M192" s="15">
        <f>(+S192+Y192)/2</f>
        <v>0</v>
      </c>
      <c r="N192" s="15"/>
      <c r="O192" s="82">
        <v>25419958</v>
      </c>
      <c r="P192" s="82">
        <v>-34503227</v>
      </c>
      <c r="Q192" s="82">
        <v>5559989</v>
      </c>
      <c r="R192" s="82">
        <v>-384688</v>
      </c>
      <c r="S192" s="82">
        <v>0</v>
      </c>
      <c r="T192" s="15"/>
      <c r="U192" s="82">
        <v>0</v>
      </c>
      <c r="V192" s="82">
        <v>0</v>
      </c>
      <c r="W192" s="82">
        <v>0</v>
      </c>
      <c r="X192" s="82">
        <v>0</v>
      </c>
      <c r="Y192" s="82">
        <v>0</v>
      </c>
    </row>
    <row r="193" spans="1:25" ht="14.25">
      <c r="A193" s="17">
        <f t="shared" si="21"/>
        <v>177</v>
      </c>
      <c r="B193" s="5" t="s">
        <v>113</v>
      </c>
      <c r="C193" s="81">
        <v>138656564</v>
      </c>
      <c r="D193" s="81">
        <v>139058159</v>
      </c>
      <c r="E193" s="15">
        <f>-C193</f>
        <v>-138656564</v>
      </c>
      <c r="F193" s="15">
        <f>-D193</f>
        <v>-139058159</v>
      </c>
      <c r="G193" s="15">
        <f>ROUND(SUM(C193:F193)/2,0)</f>
        <v>0</v>
      </c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6" ht="14.25">
      <c r="A194" s="17">
        <f t="shared" si="21"/>
        <v>178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" thickBot="1">
      <c r="A195" s="17">
        <f t="shared" si="21"/>
        <v>179</v>
      </c>
      <c r="B195" s="5" t="s">
        <v>114</v>
      </c>
      <c r="C195" s="18">
        <f>SUM(C189:C194)</f>
        <v>961433768.24</v>
      </c>
      <c r="D195" s="18">
        <f>SUM(D189:D194)</f>
        <v>1016411663.5000001</v>
      </c>
      <c r="E195" s="18">
        <f>SUM(E189:E194)</f>
        <v>-240867554.82</v>
      </c>
      <c r="F195" s="18">
        <f>SUM(F189:F194)</f>
        <v>-239224613.42</v>
      </c>
      <c r="G195" s="18">
        <f>SUM(G189:G194)</f>
        <v>748876631</v>
      </c>
      <c r="H195" s="18"/>
      <c r="I195" s="18">
        <f>SUM(I189:I194)</f>
        <v>68601375.71500002</v>
      </c>
      <c r="J195" s="18">
        <f>SUM(J189:J194)</f>
        <v>642574825.5599998</v>
      </c>
      <c r="K195" s="18">
        <f>SUM(K189:K194)</f>
        <v>9070121.830000002</v>
      </c>
      <c r="L195" s="18">
        <f>SUM(L189:L194)</f>
        <v>28630308.645000007</v>
      </c>
      <c r="M195" s="18">
        <f>SUM(M189:M194)</f>
        <v>0</v>
      </c>
      <c r="N195" s="18"/>
      <c r="O195" s="18">
        <f>SUM(O189:O194)</f>
        <v>78336454.57999998</v>
      </c>
      <c r="P195" s="18">
        <f>SUM(P189:P194)</f>
        <v>604867636.08</v>
      </c>
      <c r="Q195" s="18">
        <f>SUM(Q189:Q194)</f>
        <v>11733484.620000001</v>
      </c>
      <c r="R195" s="18">
        <f>SUM(R189:R194)</f>
        <v>25628638.140000004</v>
      </c>
      <c r="S195" s="18">
        <f>SUM(S189:S194)</f>
        <v>0</v>
      </c>
      <c r="T195" s="15"/>
      <c r="U195" s="18">
        <f>SUM(U189:U194)</f>
        <v>58866296.850000024</v>
      </c>
      <c r="V195" s="18">
        <f>SUM(V189:V194)</f>
        <v>680282015.0399998</v>
      </c>
      <c r="W195" s="18">
        <f>SUM(W189:W194)</f>
        <v>6406759.04</v>
      </c>
      <c r="X195" s="18">
        <f>SUM(X189:X194)</f>
        <v>31631979.149999995</v>
      </c>
      <c r="Y195" s="18">
        <f>SUM(Y189:Y194)</f>
        <v>0</v>
      </c>
      <c r="Z195" s="15"/>
    </row>
    <row r="196" spans="1:26" ht="15" thickTop="1">
      <c r="A196" s="17">
        <f t="shared" si="21"/>
        <v>180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5"/>
      <c r="U196" s="19"/>
      <c r="V196" s="19"/>
      <c r="W196" s="19"/>
      <c r="X196" s="19"/>
      <c r="Y196" s="19"/>
      <c r="Z196" s="15"/>
    </row>
    <row r="197" spans="1:25" ht="14.25">
      <c r="A197" s="17">
        <f t="shared" si="21"/>
        <v>181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4.25">
      <c r="A198" s="17">
        <f t="shared" si="21"/>
        <v>182</v>
      </c>
      <c r="B198" s="5" t="s">
        <v>115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4.25">
      <c r="A199" s="17">
        <f t="shared" si="21"/>
        <v>183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4.25">
      <c r="A200" s="17">
        <f t="shared" si="21"/>
        <v>184</v>
      </c>
      <c r="B200" s="5" t="s">
        <v>116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4.25">
      <c r="A201" s="17">
        <f t="shared" si="21"/>
        <v>185</v>
      </c>
      <c r="C201" s="15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4.25">
      <c r="A202" s="17">
        <f t="shared" si="21"/>
        <v>186</v>
      </c>
      <c r="B202" s="5" t="s">
        <v>117</v>
      </c>
      <c r="C202" s="15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4.25">
      <c r="A203" s="17">
        <f t="shared" si="21"/>
        <v>187</v>
      </c>
      <c r="B203" s="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4.25">
      <c r="A204" s="17">
        <f t="shared" si="21"/>
        <v>188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4.25">
      <c r="A205" s="17">
        <f t="shared" si="21"/>
        <v>189</v>
      </c>
      <c r="B205" s="14" t="s">
        <v>118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4.25">
      <c r="A206" s="17">
        <f t="shared" si="21"/>
        <v>190</v>
      </c>
      <c r="B206" s="14" t="s">
        <v>119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4.25">
      <c r="A207" s="17">
        <f t="shared" si="21"/>
        <v>191</v>
      </c>
      <c r="B207" s="5" t="s">
        <v>298</v>
      </c>
      <c r="C207" s="15">
        <f>SUM(O207:S207)</f>
        <v>0</v>
      </c>
      <c r="D207" s="15">
        <f>SUM(U207:Y207)</f>
        <v>0</v>
      </c>
      <c r="E207" s="15"/>
      <c r="F207" s="15"/>
      <c r="G207" s="15">
        <f>ROUND(SUM(C207:F207)/2,0)</f>
        <v>0</v>
      </c>
      <c r="H207" s="15"/>
      <c r="I207" s="15">
        <f>(O207+U207)/2</f>
        <v>0</v>
      </c>
      <c r="J207" s="15">
        <f>(P207+V207)/2</f>
        <v>0</v>
      </c>
      <c r="K207" s="15">
        <f>(Q207+W207)/2</f>
        <v>0</v>
      </c>
      <c r="L207" s="15">
        <f>(R207+X207)/2</f>
        <v>0</v>
      </c>
      <c r="M207" s="15">
        <f>(S207+Y207)/2</f>
        <v>0</v>
      </c>
      <c r="N207" s="15"/>
      <c r="O207" s="81">
        <v>0</v>
      </c>
      <c r="P207" s="81">
        <v>0</v>
      </c>
      <c r="Q207" s="81">
        <v>0</v>
      </c>
      <c r="R207" s="81">
        <v>0</v>
      </c>
      <c r="S207" s="81">
        <v>0</v>
      </c>
      <c r="T207" s="15"/>
      <c r="U207" s="81">
        <v>0</v>
      </c>
      <c r="V207" s="81">
        <v>0</v>
      </c>
      <c r="W207" s="81">
        <v>0</v>
      </c>
      <c r="X207" s="81">
        <v>0</v>
      </c>
      <c r="Y207" s="81">
        <v>0</v>
      </c>
    </row>
    <row r="208" spans="1:25" ht="14.25">
      <c r="A208" s="17">
        <f t="shared" si="21"/>
        <v>192</v>
      </c>
      <c r="B208" s="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4.25">
      <c r="A209" s="17">
        <f t="shared" si="21"/>
        <v>193</v>
      </c>
      <c r="B209" s="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5" thickBot="1">
      <c r="A210" s="17">
        <f>A209+1</f>
        <v>194</v>
      </c>
      <c r="B210" s="14" t="s">
        <v>122</v>
      </c>
      <c r="C210" s="18">
        <f aca="true" t="shared" si="27" ref="C210:O210">SUM(C207:C209)</f>
        <v>0</v>
      </c>
      <c r="D210" s="18">
        <f t="shared" si="27"/>
        <v>0</v>
      </c>
      <c r="E210" s="18">
        <f t="shared" si="27"/>
        <v>0</v>
      </c>
      <c r="F210" s="18">
        <f t="shared" si="27"/>
        <v>0</v>
      </c>
      <c r="G210" s="18">
        <f t="shared" si="27"/>
        <v>0</v>
      </c>
      <c r="H210" s="18"/>
      <c r="I210" s="18">
        <f>SUM(I207:I209)</f>
        <v>0</v>
      </c>
      <c r="J210" s="18">
        <f>SUM(J207:J209)</f>
        <v>0</v>
      </c>
      <c r="K210" s="18">
        <f>SUM(K207:K209)</f>
        <v>0</v>
      </c>
      <c r="L210" s="18">
        <f>SUM(L207:L209)</f>
        <v>0</v>
      </c>
      <c r="M210" s="18">
        <f>SUM(M207:M209)</f>
        <v>0</v>
      </c>
      <c r="N210" s="18"/>
      <c r="O210" s="18">
        <f t="shared" si="27"/>
        <v>0</v>
      </c>
      <c r="P210" s="18">
        <f>SUM(P207:P209)</f>
        <v>0</v>
      </c>
      <c r="Q210" s="18">
        <f>SUM(Q207:Q209)</f>
        <v>0</v>
      </c>
      <c r="R210" s="18">
        <f>SUM(R207:R209)</f>
        <v>0</v>
      </c>
      <c r="S210" s="18">
        <f>SUM(S207:S209)</f>
        <v>0</v>
      </c>
      <c r="T210" s="15"/>
      <c r="U210" s="18">
        <f>SUM(U207:U209)</f>
        <v>0</v>
      </c>
      <c r="V210" s="18">
        <f>SUM(V207:V209)</f>
        <v>0</v>
      </c>
      <c r="W210" s="18">
        <f>SUM(W207:W209)</f>
        <v>0</v>
      </c>
      <c r="X210" s="18">
        <f>SUM(X207:X209)</f>
        <v>0</v>
      </c>
      <c r="Y210" s="18">
        <f>SUM(Y207:Y209)</f>
        <v>0</v>
      </c>
    </row>
    <row r="211" spans="3:25" ht="15" thickTop="1">
      <c r="C211" s="19"/>
      <c r="D211" s="19"/>
      <c r="E211" s="19"/>
      <c r="F211" s="19"/>
      <c r="G211" s="19"/>
      <c r="I211" s="19"/>
      <c r="J211" s="19"/>
      <c r="K211" s="19"/>
      <c r="L211" s="19"/>
      <c r="M211" s="19"/>
      <c r="O211" s="19"/>
      <c r="P211" s="19"/>
      <c r="Q211" s="19"/>
      <c r="R211" s="19"/>
      <c r="S211" s="19"/>
      <c r="U211" s="19"/>
      <c r="V211" s="19"/>
      <c r="W211" s="19"/>
      <c r="X211" s="19"/>
      <c r="Y211" s="19"/>
    </row>
  </sheetData>
  <sheetProtection/>
  <printOptions/>
  <pageMargins left="0.75" right="0.25" top="0.5" bottom="0.25" header="0" footer="0"/>
  <pageSetup horizontalDpi="600" verticalDpi="600" orientation="portrait" scale="65" r:id="rId1"/>
  <headerFooter alignWithMargins="0">
    <oddHeader>&amp;RSTATEMENT AF
Page &amp;P of &amp;N</oddHeader>
  </headerFooter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3"/>
  <sheetViews>
    <sheetView showOutlineSymbols="0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12.7109375" defaultRowHeight="15"/>
  <cols>
    <col min="1" max="1" width="4.7109375" style="39" customWidth="1"/>
    <col min="2" max="2" width="53.00390625" style="40" customWidth="1"/>
    <col min="3" max="7" width="14.7109375" style="40" customWidth="1"/>
    <col min="8" max="8" width="2.7109375" style="40" customWidth="1"/>
    <col min="9" max="12" width="14.7109375" style="40" customWidth="1"/>
    <col min="13" max="13" width="10.7109375" style="40" customWidth="1"/>
    <col min="14" max="14" width="2.7109375" style="40" customWidth="1"/>
    <col min="15" max="18" width="14.7109375" style="40" customWidth="1"/>
    <col min="19" max="19" width="11.00390625" style="40" customWidth="1"/>
    <col min="20" max="20" width="2.7109375" style="40" customWidth="1"/>
    <col min="21" max="24" width="14.7109375" style="40" customWidth="1"/>
    <col min="25" max="25" width="11.00390625" style="40" customWidth="1"/>
    <col min="26" max="16384" width="12.7109375" style="40" customWidth="1"/>
  </cols>
  <sheetData>
    <row r="1" spans="2:25" ht="12.75">
      <c r="B1" s="3" t="s">
        <v>205</v>
      </c>
      <c r="G1" s="41"/>
      <c r="H1" s="21"/>
      <c r="I1" s="21"/>
      <c r="J1" s="21"/>
      <c r="K1" s="21"/>
      <c r="L1" s="21"/>
      <c r="M1" s="41"/>
      <c r="N1" s="21"/>
      <c r="S1" s="41"/>
      <c r="Y1" s="41"/>
    </row>
    <row r="2" spans="2:25" ht="12.75">
      <c r="B2" s="3" t="s">
        <v>123</v>
      </c>
      <c r="G2" s="41"/>
      <c r="H2" s="21"/>
      <c r="I2" s="21"/>
      <c r="J2" s="21"/>
      <c r="K2" s="21"/>
      <c r="L2" s="21"/>
      <c r="M2" s="41"/>
      <c r="N2" s="21"/>
      <c r="S2" s="41"/>
      <c r="Y2" s="41"/>
    </row>
    <row r="3" ht="12.75">
      <c r="B3" s="3" t="s">
        <v>579</v>
      </c>
    </row>
    <row r="4" spans="2:25" ht="12.75">
      <c r="B4" s="42"/>
      <c r="G4" s="41" t="s">
        <v>124</v>
      </c>
      <c r="M4" s="41"/>
      <c r="S4" s="41"/>
      <c r="Y4" s="41"/>
    </row>
    <row r="5" ht="12.75">
      <c r="B5" s="39"/>
    </row>
    <row r="6" spans="8:14" ht="12.75">
      <c r="H6" s="43"/>
      <c r="I6" s="43"/>
      <c r="J6" s="43"/>
      <c r="K6" s="43"/>
      <c r="L6" s="43"/>
      <c r="M6" s="43"/>
      <c r="N6" s="43"/>
    </row>
    <row r="7" ht="12.75"/>
    <row r="8" spans="2:25" ht="12.7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/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/>
      <c r="O8" s="8" t="s">
        <v>14</v>
      </c>
      <c r="P8" s="8" t="s">
        <v>15</v>
      </c>
      <c r="Q8" s="8" t="s">
        <v>16</v>
      </c>
      <c r="R8" s="8" t="s">
        <v>17</v>
      </c>
      <c r="S8" s="8" t="s">
        <v>206</v>
      </c>
      <c r="U8" s="8" t="s">
        <v>207</v>
      </c>
      <c r="V8" s="8" t="s">
        <v>208</v>
      </c>
      <c r="W8" s="8" t="s">
        <v>209</v>
      </c>
      <c r="X8" s="8" t="s">
        <v>210</v>
      </c>
      <c r="Y8" s="8" t="s">
        <v>211</v>
      </c>
    </row>
    <row r="9" ht="12.75"/>
    <row r="10" spans="3:25" ht="12.75">
      <c r="C10" s="32" t="s">
        <v>18</v>
      </c>
      <c r="D10" s="32"/>
      <c r="E10" s="10" t="s">
        <v>19</v>
      </c>
      <c r="F10" s="32"/>
      <c r="G10" s="43" t="s">
        <v>20</v>
      </c>
      <c r="H10" s="43"/>
      <c r="I10" s="32" t="s">
        <v>21</v>
      </c>
      <c r="J10" s="32"/>
      <c r="K10" s="32"/>
      <c r="L10" s="32"/>
      <c r="M10" s="32"/>
      <c r="N10" s="43"/>
      <c r="O10" s="32" t="s">
        <v>580</v>
      </c>
      <c r="P10" s="32"/>
      <c r="Q10" s="32"/>
      <c r="R10" s="32"/>
      <c r="S10" s="32"/>
      <c r="U10" s="32" t="s">
        <v>530</v>
      </c>
      <c r="V10" s="32"/>
      <c r="W10" s="32"/>
      <c r="X10" s="32"/>
      <c r="Y10" s="32"/>
    </row>
    <row r="11" spans="3:25" ht="12.75">
      <c r="C11" s="44"/>
      <c r="D11" s="44"/>
      <c r="G11" s="43" t="s">
        <v>22</v>
      </c>
      <c r="H11" s="43"/>
      <c r="I11" s="44"/>
      <c r="J11" s="44"/>
      <c r="K11" s="44"/>
      <c r="L11" s="44"/>
      <c r="M11" s="44"/>
      <c r="N11" s="43"/>
      <c r="O11" s="44"/>
      <c r="P11" s="44"/>
      <c r="Q11" s="44"/>
      <c r="R11" s="44"/>
      <c r="S11" s="44"/>
      <c r="U11" s="44"/>
      <c r="V11" s="44"/>
      <c r="W11" s="44"/>
      <c r="X11" s="44"/>
      <c r="Y11" s="44"/>
    </row>
    <row r="12" spans="3:14" ht="12.75">
      <c r="C12" s="43" t="s">
        <v>23</v>
      </c>
      <c r="D12" s="43" t="s">
        <v>23</v>
      </c>
      <c r="E12" s="43" t="s">
        <v>23</v>
      </c>
      <c r="F12" s="43" t="s">
        <v>23</v>
      </c>
      <c r="G12" s="43" t="s">
        <v>24</v>
      </c>
      <c r="H12" s="43"/>
      <c r="N12" s="43"/>
    </row>
    <row r="13" spans="2:25" ht="12.75">
      <c r="B13" s="8" t="s">
        <v>25</v>
      </c>
      <c r="C13" s="8" t="s">
        <v>581</v>
      </c>
      <c r="D13" s="8" t="s">
        <v>531</v>
      </c>
      <c r="E13" s="8" t="str">
        <f>+C13</f>
        <v>OF 12-31-14</v>
      </c>
      <c r="F13" s="8" t="str">
        <f>+D13</f>
        <v>OF 12-31-13</v>
      </c>
      <c r="G13" s="8" t="s">
        <v>26</v>
      </c>
      <c r="H13" s="8"/>
      <c r="I13" s="8" t="s">
        <v>27</v>
      </c>
      <c r="J13" s="8" t="s">
        <v>212</v>
      </c>
      <c r="K13" s="8" t="s">
        <v>28</v>
      </c>
      <c r="L13" s="8" t="s">
        <v>29</v>
      </c>
      <c r="M13" s="8" t="s">
        <v>213</v>
      </c>
      <c r="N13" s="8"/>
      <c r="O13" s="8" t="s">
        <v>27</v>
      </c>
      <c r="P13" s="8" t="s">
        <v>212</v>
      </c>
      <c r="Q13" s="8" t="s">
        <v>28</v>
      </c>
      <c r="R13" s="8" t="s">
        <v>29</v>
      </c>
      <c r="S13" s="8" t="s">
        <v>213</v>
      </c>
      <c r="U13" s="8" t="s">
        <v>27</v>
      </c>
      <c r="V13" s="8" t="s">
        <v>212</v>
      </c>
      <c r="W13" s="8" t="s">
        <v>28</v>
      </c>
      <c r="X13" s="8" t="s">
        <v>29</v>
      </c>
      <c r="Y13" s="8" t="s">
        <v>213</v>
      </c>
    </row>
    <row r="14" ht="12.75"/>
    <row r="15" spans="1:26" ht="12.75">
      <c r="A15" s="45"/>
      <c r="B15" s="36" t="s">
        <v>125</v>
      </c>
      <c r="C15" s="36"/>
      <c r="D15" s="36"/>
      <c r="E15" s="36"/>
      <c r="F15" s="4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2.75">
      <c r="A16" s="4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2.75">
      <c r="A17" s="47">
        <v>1</v>
      </c>
      <c r="B17" s="36" t="s">
        <v>299</v>
      </c>
      <c r="C17" s="36">
        <f>SUM(O17:S17)</f>
        <v>2877930</v>
      </c>
      <c r="D17" s="36">
        <f aca="true" t="shared" si="0" ref="D17:D98">SUM(U17:Y17)</f>
        <v>14350977.98</v>
      </c>
      <c r="E17" s="36"/>
      <c r="F17" s="36"/>
      <c r="G17" s="36">
        <f aca="true" t="shared" si="1" ref="G17:G63">ROUND(SUM(C17:F17)/2,0)</f>
        <v>8614454</v>
      </c>
      <c r="H17" s="36"/>
      <c r="I17" s="36">
        <f aca="true" t="shared" si="2" ref="I17:M82">(+O17+U17)/2</f>
        <v>5412707.68</v>
      </c>
      <c r="J17" s="36">
        <f t="shared" si="2"/>
        <v>1160096.2300000004</v>
      </c>
      <c r="K17" s="36">
        <f t="shared" si="2"/>
        <v>972998.005</v>
      </c>
      <c r="L17" s="36">
        <f t="shared" si="2"/>
        <v>1068652.075</v>
      </c>
      <c r="M17" s="36">
        <f t="shared" si="2"/>
        <v>0</v>
      </c>
      <c r="N17" s="36"/>
      <c r="O17" s="36">
        <v>1012995</v>
      </c>
      <c r="P17" s="36">
        <v>1448009</v>
      </c>
      <c r="Q17" s="36">
        <v>0</v>
      </c>
      <c r="R17" s="36">
        <v>416926</v>
      </c>
      <c r="S17" s="36"/>
      <c r="T17" s="36"/>
      <c r="U17" s="36">
        <f>915435+8896985.36</f>
        <v>9812420.36</v>
      </c>
      <c r="V17" s="36">
        <f>1261967-12076129.54+11686346</f>
        <v>872183.4600000009</v>
      </c>
      <c r="W17" s="36">
        <v>1945996.01</v>
      </c>
      <c r="X17" s="36">
        <f>409719+1445300-134640.85</f>
        <v>1720378.15</v>
      </c>
      <c r="Y17" s="36">
        <v>0</v>
      </c>
      <c r="Z17" s="36"/>
    </row>
    <row r="18" spans="1:26" ht="12.75">
      <c r="A18" s="47">
        <f aca="true" t="shared" si="3" ref="A18:A81">A17+1</f>
        <v>2</v>
      </c>
      <c r="B18" s="36" t="s">
        <v>127</v>
      </c>
      <c r="C18" s="36">
        <f>SUM(O18:S18)</f>
        <v>36113449.55</v>
      </c>
      <c r="D18" s="36">
        <f>SUM(U18:Y18)</f>
        <v>31034569.909999996</v>
      </c>
      <c r="E18" s="36"/>
      <c r="F18" s="36"/>
      <c r="G18" s="36">
        <f>ROUND(SUM(C18:F18)/2,0)</f>
        <v>33574010</v>
      </c>
      <c r="H18" s="36"/>
      <c r="I18" s="36">
        <f>(+O18+U18)/2</f>
        <v>7397557.415</v>
      </c>
      <c r="J18" s="36">
        <f>(+P18+V18)/2</f>
        <v>14621045.365</v>
      </c>
      <c r="K18" s="36">
        <f>(+Q18+W18)/2</f>
        <v>5554060.84</v>
      </c>
      <c r="L18" s="36">
        <f>(+R18+X18)/2</f>
        <v>6001346.109999999</v>
      </c>
      <c r="M18" s="36">
        <f t="shared" si="2"/>
        <v>0</v>
      </c>
      <c r="N18" s="36"/>
      <c r="O18" s="36">
        <f>11516947.85-3609595</f>
        <v>7907352.85</v>
      </c>
      <c r="P18" s="36">
        <f>19432838.02-2918029</f>
        <v>16514809.02</v>
      </c>
      <c r="Q18" s="36">
        <f>10342590.4-4663235</f>
        <v>5679355.4</v>
      </c>
      <c r="R18" s="36">
        <f>11128305.28-5116373</f>
        <v>6011932.279999999</v>
      </c>
      <c r="S18" s="36"/>
      <c r="T18" s="36"/>
      <c r="U18" s="36">
        <f>10138041.98-3250280</f>
        <v>6887761.98</v>
      </c>
      <c r="V18" s="36">
        <f>15094754.71-2367473</f>
        <v>12727281.71</v>
      </c>
      <c r="W18" s="36">
        <f>9757156.28-4328390</f>
        <v>5428766.279999999</v>
      </c>
      <c r="X18" s="36">
        <f>10742705.94-4751946</f>
        <v>5990759.9399999995</v>
      </c>
      <c r="Y18" s="36">
        <v>0</v>
      </c>
      <c r="Z18" s="36"/>
    </row>
    <row r="19" spans="1:26" ht="12.75">
      <c r="A19" s="47">
        <f t="shared" si="3"/>
        <v>3</v>
      </c>
      <c r="B19" s="36" t="s">
        <v>300</v>
      </c>
      <c r="C19" s="36">
        <f aca="true" t="shared" si="4" ref="C19:C98">SUM(O19:S19)</f>
        <v>0</v>
      </c>
      <c r="D19" s="36">
        <f t="shared" si="0"/>
        <v>0</v>
      </c>
      <c r="E19" s="36"/>
      <c r="F19" s="36"/>
      <c r="G19" s="36">
        <f t="shared" si="1"/>
        <v>0</v>
      </c>
      <c r="H19" s="36"/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/>
      <c r="O19" s="36">
        <v>0</v>
      </c>
      <c r="P19" s="36">
        <f>2281713-2281713</f>
        <v>0</v>
      </c>
      <c r="Q19" s="36">
        <v>0</v>
      </c>
      <c r="R19" s="36">
        <v>0</v>
      </c>
      <c r="S19" s="36"/>
      <c r="T19" s="36"/>
      <c r="U19" s="36">
        <v>0</v>
      </c>
      <c r="V19" s="36">
        <f>2281713-2281713</f>
        <v>0</v>
      </c>
      <c r="W19" s="36">
        <v>0</v>
      </c>
      <c r="X19" s="36">
        <v>0</v>
      </c>
      <c r="Y19" s="36">
        <v>0</v>
      </c>
      <c r="Z19" s="36"/>
    </row>
    <row r="20" spans="1:26" ht="12.75">
      <c r="A20" s="47">
        <f t="shared" si="3"/>
        <v>4</v>
      </c>
      <c r="B20" s="36" t="s">
        <v>301</v>
      </c>
      <c r="C20" s="36">
        <f t="shared" si="4"/>
        <v>4571</v>
      </c>
      <c r="D20" s="36">
        <f t="shared" si="0"/>
        <v>5877</v>
      </c>
      <c r="E20" s="36"/>
      <c r="F20" s="36"/>
      <c r="G20" s="36">
        <f t="shared" si="1"/>
        <v>5224</v>
      </c>
      <c r="H20" s="36"/>
      <c r="I20" s="36">
        <f t="shared" si="2"/>
        <v>5224</v>
      </c>
      <c r="J20" s="36">
        <f t="shared" si="2"/>
        <v>0</v>
      </c>
      <c r="K20" s="36">
        <f t="shared" si="2"/>
        <v>0</v>
      </c>
      <c r="L20" s="36">
        <f t="shared" si="2"/>
        <v>0</v>
      </c>
      <c r="M20" s="36">
        <f t="shared" si="2"/>
        <v>0</v>
      </c>
      <c r="N20" s="36"/>
      <c r="O20" s="36">
        <f>39182-34611</f>
        <v>4571</v>
      </c>
      <c r="P20" s="36">
        <v>0</v>
      </c>
      <c r="Q20" s="36">
        <v>0</v>
      </c>
      <c r="R20" s="36">
        <v>0</v>
      </c>
      <c r="S20" s="36"/>
      <c r="T20" s="36"/>
      <c r="U20" s="36">
        <f>39182-33305</f>
        <v>5877</v>
      </c>
      <c r="V20" s="36">
        <v>0</v>
      </c>
      <c r="W20" s="36">
        <v>0</v>
      </c>
      <c r="X20" s="36">
        <v>0</v>
      </c>
      <c r="Y20" s="36">
        <v>0</v>
      </c>
      <c r="Z20" s="36"/>
    </row>
    <row r="21" spans="1:26" ht="12.75">
      <c r="A21" s="47">
        <f t="shared" si="3"/>
        <v>5</v>
      </c>
      <c r="B21" s="36" t="s">
        <v>302</v>
      </c>
      <c r="C21" s="36">
        <f t="shared" si="4"/>
        <v>3010</v>
      </c>
      <c r="D21" s="36">
        <f t="shared" si="0"/>
        <v>6020</v>
      </c>
      <c r="E21" s="36"/>
      <c r="F21" s="36"/>
      <c r="G21" s="36">
        <f t="shared" si="1"/>
        <v>4515</v>
      </c>
      <c r="H21" s="36"/>
      <c r="I21" s="36">
        <f t="shared" si="2"/>
        <v>4515</v>
      </c>
      <c r="J21" s="36">
        <f t="shared" si="2"/>
        <v>0</v>
      </c>
      <c r="K21" s="36">
        <f t="shared" si="2"/>
        <v>0</v>
      </c>
      <c r="L21" s="36">
        <f t="shared" si="2"/>
        <v>0</v>
      </c>
      <c r="M21" s="36">
        <f t="shared" si="2"/>
        <v>0</v>
      </c>
      <c r="N21" s="36"/>
      <c r="O21" s="36">
        <f>90297-87287</f>
        <v>3010</v>
      </c>
      <c r="P21" s="36">
        <v>0</v>
      </c>
      <c r="Q21" s="36">
        <v>0</v>
      </c>
      <c r="R21" s="36">
        <v>0</v>
      </c>
      <c r="S21" s="36"/>
      <c r="T21" s="36"/>
      <c r="U21" s="36">
        <f>90297-84277</f>
        <v>6020</v>
      </c>
      <c r="V21" s="36">
        <v>0</v>
      </c>
      <c r="W21" s="36">
        <v>0</v>
      </c>
      <c r="X21" s="36">
        <v>0</v>
      </c>
      <c r="Y21" s="36">
        <v>0</v>
      </c>
      <c r="Z21" s="36"/>
    </row>
    <row r="22" spans="1:26" ht="12.75">
      <c r="A22" s="47">
        <f t="shared" si="3"/>
        <v>6</v>
      </c>
      <c r="B22" s="36" t="s">
        <v>303</v>
      </c>
      <c r="C22" s="36">
        <f t="shared" si="4"/>
        <v>5716811.3</v>
      </c>
      <c r="D22" s="36">
        <f t="shared" si="0"/>
        <v>6151504.09</v>
      </c>
      <c r="E22" s="36"/>
      <c r="F22" s="36"/>
      <c r="G22" s="36">
        <f t="shared" si="1"/>
        <v>5934158</v>
      </c>
      <c r="H22" s="36"/>
      <c r="I22" s="36">
        <f t="shared" si="2"/>
        <v>0</v>
      </c>
      <c r="J22" s="36">
        <f t="shared" si="2"/>
        <v>0</v>
      </c>
      <c r="K22" s="36">
        <f t="shared" si="2"/>
        <v>1590290.295</v>
      </c>
      <c r="L22" s="36">
        <f t="shared" si="2"/>
        <v>4343867.4</v>
      </c>
      <c r="M22" s="36">
        <f t="shared" si="2"/>
        <v>0</v>
      </c>
      <c r="N22" s="36"/>
      <c r="O22" s="36">
        <v>0</v>
      </c>
      <c r="P22" s="36">
        <v>0</v>
      </c>
      <c r="Q22" s="36">
        <v>1529425.82</v>
      </c>
      <c r="R22" s="36">
        <v>4187385.48</v>
      </c>
      <c r="S22" s="36"/>
      <c r="T22" s="36"/>
      <c r="U22" s="36">
        <v>0</v>
      </c>
      <c r="V22" s="36">
        <v>0</v>
      </c>
      <c r="W22" s="36">
        <v>1651154.77</v>
      </c>
      <c r="X22" s="36">
        <v>4500349.32</v>
      </c>
      <c r="Y22" s="36">
        <v>0</v>
      </c>
      <c r="Z22" s="36"/>
    </row>
    <row r="23" spans="1:26" ht="12.75">
      <c r="A23" s="47">
        <f t="shared" si="3"/>
        <v>7</v>
      </c>
      <c r="B23" s="36" t="s">
        <v>304</v>
      </c>
      <c r="C23" s="36">
        <f t="shared" si="4"/>
        <v>-0.89</v>
      </c>
      <c r="D23" s="36">
        <f t="shared" si="0"/>
        <v>-0.89</v>
      </c>
      <c r="E23" s="36"/>
      <c r="F23" s="36"/>
      <c r="G23" s="36">
        <f t="shared" si="1"/>
        <v>-1</v>
      </c>
      <c r="H23" s="36"/>
      <c r="I23" s="36">
        <f t="shared" si="2"/>
        <v>0</v>
      </c>
      <c r="J23" s="36">
        <f t="shared" si="2"/>
        <v>0</v>
      </c>
      <c r="K23" s="36">
        <f t="shared" si="2"/>
        <v>0</v>
      </c>
      <c r="L23" s="36">
        <f t="shared" si="2"/>
        <v>-0.89</v>
      </c>
      <c r="M23" s="36">
        <f t="shared" si="2"/>
        <v>0</v>
      </c>
      <c r="N23" s="36"/>
      <c r="O23" s="36">
        <v>0</v>
      </c>
      <c r="P23" s="36">
        <v>0</v>
      </c>
      <c r="Q23" s="36">
        <v>0</v>
      </c>
      <c r="R23" s="36">
        <v>-0.89</v>
      </c>
      <c r="S23" s="36"/>
      <c r="T23" s="36"/>
      <c r="U23" s="36">
        <v>0</v>
      </c>
      <c r="V23" s="36">
        <v>0</v>
      </c>
      <c r="W23" s="36">
        <v>0</v>
      </c>
      <c r="X23" s="36">
        <v>-0.89</v>
      </c>
      <c r="Y23" s="36">
        <v>0</v>
      </c>
      <c r="Z23" s="36"/>
    </row>
    <row r="24" spans="1:26" ht="12.75">
      <c r="A24" s="47">
        <f t="shared" si="3"/>
        <v>8</v>
      </c>
      <c r="B24" s="36" t="s">
        <v>305</v>
      </c>
      <c r="C24" s="36">
        <f t="shared" si="4"/>
        <v>-2365217.94</v>
      </c>
      <c r="D24" s="36">
        <f t="shared" si="0"/>
        <v>-900987.1900000002</v>
      </c>
      <c r="E24" s="36"/>
      <c r="F24" s="36"/>
      <c r="G24" s="36">
        <f t="shared" si="1"/>
        <v>-1633103</v>
      </c>
      <c r="H24" s="36"/>
      <c r="I24" s="36">
        <f t="shared" si="2"/>
        <v>761770.905</v>
      </c>
      <c r="J24" s="36">
        <f t="shared" si="2"/>
        <v>0.15</v>
      </c>
      <c r="K24" s="36">
        <f t="shared" si="2"/>
        <v>152067.085</v>
      </c>
      <c r="L24" s="36">
        <f t="shared" si="2"/>
        <v>-2546940.705</v>
      </c>
      <c r="M24" s="36">
        <f t="shared" si="2"/>
        <v>0</v>
      </c>
      <c r="N24" s="36"/>
      <c r="O24" s="36">
        <v>578400.23</v>
      </c>
      <c r="P24" s="36">
        <v>0.15</v>
      </c>
      <c r="Q24" s="36">
        <v>20379.41</v>
      </c>
      <c r="R24" s="36">
        <v>-2963997.73</v>
      </c>
      <c r="S24" s="36"/>
      <c r="T24" s="36"/>
      <c r="U24" s="36">
        <v>945141.58</v>
      </c>
      <c r="V24" s="36">
        <v>0.15</v>
      </c>
      <c r="W24" s="36">
        <v>283754.76</v>
      </c>
      <c r="X24" s="36">
        <v>-2129883.68</v>
      </c>
      <c r="Y24" s="36">
        <v>0</v>
      </c>
      <c r="Z24" s="36"/>
    </row>
    <row r="25" spans="1:26" ht="12.75">
      <c r="A25" s="47">
        <f t="shared" si="3"/>
        <v>9</v>
      </c>
      <c r="B25" s="36" t="s">
        <v>135</v>
      </c>
      <c r="C25" s="36">
        <f t="shared" si="4"/>
        <v>473055.5400000001</v>
      </c>
      <c r="D25" s="36">
        <f t="shared" si="0"/>
        <v>335462.41000000003</v>
      </c>
      <c r="E25" s="36"/>
      <c r="F25" s="36"/>
      <c r="G25" s="36">
        <f t="shared" si="1"/>
        <v>404259</v>
      </c>
      <c r="H25" s="36"/>
      <c r="I25" s="36">
        <f t="shared" si="2"/>
        <v>-868882.35</v>
      </c>
      <c r="J25" s="36">
        <f t="shared" si="2"/>
        <v>0</v>
      </c>
      <c r="K25" s="36">
        <f t="shared" si="2"/>
        <v>1172444.0550000002</v>
      </c>
      <c r="L25" s="36">
        <f t="shared" si="2"/>
        <v>100697.27</v>
      </c>
      <c r="M25" s="36">
        <f t="shared" si="2"/>
        <v>0</v>
      </c>
      <c r="N25" s="36"/>
      <c r="O25" s="36">
        <v>-700102.2</v>
      </c>
      <c r="P25" s="36">
        <v>0</v>
      </c>
      <c r="Q25" s="36">
        <v>968792.05</v>
      </c>
      <c r="R25" s="36">
        <v>204365.69</v>
      </c>
      <c r="S25" s="36"/>
      <c r="T25" s="36"/>
      <c r="U25" s="36">
        <v>-1037662.5</v>
      </c>
      <c r="V25" s="36">
        <v>0</v>
      </c>
      <c r="W25" s="36">
        <v>1376096.06</v>
      </c>
      <c r="X25" s="36">
        <v>-2971.15</v>
      </c>
      <c r="Y25" s="36">
        <v>0</v>
      </c>
      <c r="Z25" s="36"/>
    </row>
    <row r="26" spans="1:26" ht="12.75">
      <c r="A26" s="47">
        <f t="shared" si="3"/>
        <v>10</v>
      </c>
      <c r="B26" s="36" t="s">
        <v>306</v>
      </c>
      <c r="C26" s="36">
        <f t="shared" si="4"/>
        <v>-650000</v>
      </c>
      <c r="D26" s="36">
        <f t="shared" si="0"/>
        <v>-650000</v>
      </c>
      <c r="E26" s="36"/>
      <c r="F26" s="36"/>
      <c r="G26" s="36">
        <f t="shared" si="1"/>
        <v>-650000</v>
      </c>
      <c r="H26" s="36"/>
      <c r="I26" s="36">
        <f t="shared" si="2"/>
        <v>0</v>
      </c>
      <c r="J26" s="36">
        <f t="shared" si="2"/>
        <v>0</v>
      </c>
      <c r="K26" s="36">
        <f t="shared" si="2"/>
        <v>-650000</v>
      </c>
      <c r="L26" s="36">
        <f t="shared" si="2"/>
        <v>0</v>
      </c>
      <c r="M26" s="36">
        <f t="shared" si="2"/>
        <v>0</v>
      </c>
      <c r="N26" s="36"/>
      <c r="O26" s="36">
        <v>0</v>
      </c>
      <c r="P26" s="36">
        <v>0</v>
      </c>
      <c r="Q26" s="36">
        <v>-650000</v>
      </c>
      <c r="R26" s="36">
        <v>0</v>
      </c>
      <c r="S26" s="36"/>
      <c r="T26" s="36"/>
      <c r="U26" s="36">
        <v>0</v>
      </c>
      <c r="V26" s="36">
        <v>0</v>
      </c>
      <c r="W26" s="36">
        <v>-650000</v>
      </c>
      <c r="X26" s="36">
        <v>0</v>
      </c>
      <c r="Y26" s="36">
        <v>0</v>
      </c>
      <c r="Z26" s="36"/>
    </row>
    <row r="27" spans="1:26" ht="12.75">
      <c r="A27" s="47">
        <f t="shared" si="3"/>
        <v>11</v>
      </c>
      <c r="B27" s="36" t="s">
        <v>307</v>
      </c>
      <c r="C27" s="36">
        <f t="shared" si="4"/>
        <v>650001</v>
      </c>
      <c r="D27" s="36">
        <f t="shared" si="0"/>
        <v>650001</v>
      </c>
      <c r="E27" s="36"/>
      <c r="F27" s="36"/>
      <c r="G27" s="36">
        <f t="shared" si="1"/>
        <v>650001</v>
      </c>
      <c r="H27" s="36"/>
      <c r="I27" s="36">
        <f t="shared" si="2"/>
        <v>0</v>
      </c>
      <c r="J27" s="36">
        <f t="shared" si="2"/>
        <v>0</v>
      </c>
      <c r="K27" s="36">
        <f t="shared" si="2"/>
        <v>650001</v>
      </c>
      <c r="L27" s="36">
        <f t="shared" si="2"/>
        <v>0</v>
      </c>
      <c r="M27" s="36">
        <f t="shared" si="2"/>
        <v>0</v>
      </c>
      <c r="N27" s="36"/>
      <c r="O27" s="36">
        <v>0</v>
      </c>
      <c r="P27" s="36">
        <v>0</v>
      </c>
      <c r="Q27" s="36">
        <v>650001</v>
      </c>
      <c r="R27" s="36">
        <v>0</v>
      </c>
      <c r="S27" s="36"/>
      <c r="T27" s="36"/>
      <c r="U27" s="36">
        <v>0</v>
      </c>
      <c r="V27" s="36">
        <v>0</v>
      </c>
      <c r="W27" s="36">
        <v>650001</v>
      </c>
      <c r="X27" s="36">
        <v>0</v>
      </c>
      <c r="Y27" s="36">
        <v>0</v>
      </c>
      <c r="Z27" s="36"/>
    </row>
    <row r="28" spans="1:26" ht="12.75">
      <c r="A28" s="47">
        <f t="shared" si="3"/>
        <v>12</v>
      </c>
      <c r="B28" s="36" t="s">
        <v>308</v>
      </c>
      <c r="C28" s="36">
        <f t="shared" si="4"/>
        <v>9997585.41</v>
      </c>
      <c r="D28" s="36">
        <f t="shared" si="0"/>
        <v>11257868.01</v>
      </c>
      <c r="E28" s="36"/>
      <c r="F28" s="36"/>
      <c r="G28" s="36">
        <f t="shared" si="1"/>
        <v>10627727</v>
      </c>
      <c r="H28" s="36"/>
      <c r="I28" s="36">
        <f t="shared" si="2"/>
        <v>10627726.71</v>
      </c>
      <c r="J28" s="36">
        <f t="shared" si="2"/>
        <v>0</v>
      </c>
      <c r="K28" s="36">
        <f t="shared" si="2"/>
        <v>0</v>
      </c>
      <c r="L28" s="36">
        <f t="shared" si="2"/>
        <v>0</v>
      </c>
      <c r="M28" s="36">
        <f t="shared" si="2"/>
        <v>0</v>
      </c>
      <c r="N28" s="36"/>
      <c r="O28" s="36">
        <f>10291658.41-294073</f>
        <v>9997585.41</v>
      </c>
      <c r="P28" s="36">
        <v>0</v>
      </c>
      <c r="Q28" s="36">
        <v>0</v>
      </c>
      <c r="R28" s="36">
        <v>0</v>
      </c>
      <c r="S28" s="36"/>
      <c r="T28" s="36"/>
      <c r="U28" s="36">
        <f>11589009.01-331141</f>
        <v>11257868.01</v>
      </c>
      <c r="V28" s="36">
        <v>0</v>
      </c>
      <c r="W28" s="36">
        <v>0</v>
      </c>
      <c r="X28" s="36">
        <v>0</v>
      </c>
      <c r="Y28" s="36">
        <v>0</v>
      </c>
      <c r="Z28" s="36"/>
    </row>
    <row r="29" spans="1:26" ht="12.75">
      <c r="A29" s="47">
        <f t="shared" si="3"/>
        <v>13</v>
      </c>
      <c r="B29" s="36" t="s">
        <v>309</v>
      </c>
      <c r="C29" s="36">
        <f t="shared" si="4"/>
        <v>3361675.1</v>
      </c>
      <c r="D29" s="36">
        <f t="shared" si="0"/>
        <v>-2115983.1</v>
      </c>
      <c r="E29" s="36"/>
      <c r="F29" s="36"/>
      <c r="G29" s="36">
        <f t="shared" si="1"/>
        <v>622846</v>
      </c>
      <c r="H29" s="36"/>
      <c r="I29" s="36">
        <f t="shared" si="2"/>
        <v>622846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  <c r="N29" s="36"/>
      <c r="O29" s="36">
        <v>3361675.1</v>
      </c>
      <c r="P29" s="36">
        <v>0</v>
      </c>
      <c r="Q29" s="36">
        <v>0</v>
      </c>
      <c r="R29" s="36">
        <v>0</v>
      </c>
      <c r="S29" s="36"/>
      <c r="T29" s="36"/>
      <c r="U29" s="36">
        <v>-2115983.1</v>
      </c>
      <c r="V29" s="36">
        <v>0</v>
      </c>
      <c r="W29" s="36">
        <v>0</v>
      </c>
      <c r="X29" s="36">
        <v>0</v>
      </c>
      <c r="Y29" s="36">
        <v>0</v>
      </c>
      <c r="Z29" s="36"/>
    </row>
    <row r="30" spans="1:26" ht="12.75">
      <c r="A30" s="47">
        <f t="shared" si="3"/>
        <v>14</v>
      </c>
      <c r="B30" s="36" t="s">
        <v>139</v>
      </c>
      <c r="C30" s="36">
        <f t="shared" si="4"/>
        <v>82002.32999999999</v>
      </c>
      <c r="D30" s="36">
        <f t="shared" si="0"/>
        <v>79565.70999999999</v>
      </c>
      <c r="E30" s="36"/>
      <c r="F30" s="36"/>
      <c r="G30" s="36">
        <f t="shared" si="1"/>
        <v>80784</v>
      </c>
      <c r="H30" s="36"/>
      <c r="I30" s="36">
        <f t="shared" si="2"/>
        <v>7178.85</v>
      </c>
      <c r="J30" s="36">
        <f t="shared" si="2"/>
        <v>38447.865</v>
      </c>
      <c r="K30" s="36">
        <f t="shared" si="2"/>
        <v>900.3</v>
      </c>
      <c r="L30" s="36">
        <f t="shared" si="2"/>
        <v>34257.005</v>
      </c>
      <c r="M30" s="36">
        <f t="shared" si="2"/>
        <v>0</v>
      </c>
      <c r="N30" s="36"/>
      <c r="O30" s="36">
        <v>8801.41</v>
      </c>
      <c r="P30" s="36">
        <v>46261.1</v>
      </c>
      <c r="Q30" s="36">
        <v>883.52</v>
      </c>
      <c r="R30" s="36">
        <v>26056.3</v>
      </c>
      <c r="S30" s="36"/>
      <c r="T30" s="36"/>
      <c r="U30" s="36">
        <v>5556.29</v>
      </c>
      <c r="V30" s="36">
        <v>30634.63</v>
      </c>
      <c r="W30" s="36">
        <v>917.08</v>
      </c>
      <c r="X30" s="36">
        <v>42457.71</v>
      </c>
      <c r="Y30" s="36">
        <v>0</v>
      </c>
      <c r="Z30" s="36"/>
    </row>
    <row r="31" spans="1:26" ht="12.75">
      <c r="A31" s="47">
        <f t="shared" si="3"/>
        <v>15</v>
      </c>
      <c r="B31" s="36" t="s">
        <v>310</v>
      </c>
      <c r="C31" s="36">
        <f t="shared" si="4"/>
        <v>0</v>
      </c>
      <c r="D31" s="36">
        <f t="shared" si="0"/>
        <v>0</v>
      </c>
      <c r="E31" s="36"/>
      <c r="F31" s="36"/>
      <c r="G31" s="36">
        <f t="shared" si="1"/>
        <v>0</v>
      </c>
      <c r="H31" s="36"/>
      <c r="I31" s="36">
        <f t="shared" si="2"/>
        <v>0</v>
      </c>
      <c r="J31" s="36">
        <f t="shared" si="2"/>
        <v>0</v>
      </c>
      <c r="K31" s="36">
        <f t="shared" si="2"/>
        <v>0</v>
      </c>
      <c r="L31" s="36">
        <f t="shared" si="2"/>
        <v>0</v>
      </c>
      <c r="M31" s="36">
        <f t="shared" si="2"/>
        <v>0</v>
      </c>
      <c r="N31" s="36"/>
      <c r="O31" s="36">
        <v>0</v>
      </c>
      <c r="P31" s="36">
        <v>0</v>
      </c>
      <c r="Q31" s="36">
        <v>0</v>
      </c>
      <c r="R31" s="36">
        <v>0</v>
      </c>
      <c r="S31" s="36"/>
      <c r="T31" s="36"/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/>
    </row>
    <row r="32" spans="1:26" ht="12.75">
      <c r="A32" s="47">
        <f t="shared" si="3"/>
        <v>16</v>
      </c>
      <c r="B32" s="36" t="s">
        <v>78</v>
      </c>
      <c r="C32" s="36">
        <f t="shared" si="4"/>
        <v>-33833600.78</v>
      </c>
      <c r="D32" s="36">
        <f t="shared" si="0"/>
        <v>-36787244.08</v>
      </c>
      <c r="E32" s="36"/>
      <c r="F32" s="36"/>
      <c r="G32" s="36">
        <f t="shared" si="1"/>
        <v>-35310422</v>
      </c>
      <c r="H32" s="36"/>
      <c r="I32" s="36">
        <f t="shared" si="2"/>
        <v>-7454361.949999999</v>
      </c>
      <c r="J32" s="36">
        <f t="shared" si="2"/>
        <v>-10560719.425</v>
      </c>
      <c r="K32" s="36">
        <f t="shared" si="2"/>
        <v>-2193464.075</v>
      </c>
      <c r="L32" s="36">
        <f t="shared" si="2"/>
        <v>-15101876.98</v>
      </c>
      <c r="M32" s="36">
        <f t="shared" si="2"/>
        <v>0</v>
      </c>
      <c r="N32" s="36"/>
      <c r="O32" s="36">
        <v>-7152218.31</v>
      </c>
      <c r="P32" s="36">
        <v>-9743126.36</v>
      </c>
      <c r="Q32" s="36">
        <v>-2137329.26</v>
      </c>
      <c r="R32" s="36">
        <v>-14800926.85</v>
      </c>
      <c r="S32" s="36"/>
      <c r="T32" s="36"/>
      <c r="U32" s="36">
        <v>-7756505.59</v>
      </c>
      <c r="V32" s="36">
        <v>-11378312.49</v>
      </c>
      <c r="W32" s="36">
        <v>-2249598.89</v>
      </c>
      <c r="X32" s="36">
        <v>-15402827.11</v>
      </c>
      <c r="Y32" s="36">
        <v>0</v>
      </c>
      <c r="Z32" s="36"/>
    </row>
    <row r="33" spans="1:26" ht="12.75">
      <c r="A33" s="47">
        <f t="shared" si="3"/>
        <v>17</v>
      </c>
      <c r="B33" s="36" t="s">
        <v>311</v>
      </c>
      <c r="C33" s="36">
        <f>SUM(O33:S33)</f>
        <v>46619510.349999994</v>
      </c>
      <c r="D33" s="36">
        <f>SUM(U33:Y33)</f>
        <v>46850400.8</v>
      </c>
      <c r="E33" s="36"/>
      <c r="F33" s="36"/>
      <c r="G33" s="36">
        <f>ROUND(SUM(C33:F33)/2,0)</f>
        <v>46734956</v>
      </c>
      <c r="H33" s="36"/>
      <c r="I33" s="36">
        <f t="shared" si="2"/>
        <v>10597145.125</v>
      </c>
      <c r="J33" s="36">
        <f t="shared" si="2"/>
        <v>10114300</v>
      </c>
      <c r="K33" s="36">
        <f t="shared" si="2"/>
        <v>4346660.5</v>
      </c>
      <c r="L33" s="36">
        <f t="shared" si="2"/>
        <v>21676849.950000003</v>
      </c>
      <c r="M33" s="36">
        <f t="shared" si="2"/>
        <v>0</v>
      </c>
      <c r="N33" s="36"/>
      <c r="O33" s="36">
        <v>10733931.25</v>
      </c>
      <c r="P33" s="36">
        <v>10115278.95</v>
      </c>
      <c r="Q33" s="36">
        <v>4530731.1</v>
      </c>
      <c r="R33" s="36">
        <v>21239569.05</v>
      </c>
      <c r="S33" s="36"/>
      <c r="T33" s="36"/>
      <c r="U33" s="36">
        <v>10460359</v>
      </c>
      <c r="V33" s="36">
        <v>10113321.05</v>
      </c>
      <c r="W33" s="36">
        <v>4162589.9</v>
      </c>
      <c r="X33" s="36">
        <v>22114130.85</v>
      </c>
      <c r="Y33" s="36">
        <v>0</v>
      </c>
      <c r="Z33" s="36"/>
    </row>
    <row r="34" spans="1:26" ht="12.75">
      <c r="A34" s="47">
        <f t="shared" si="3"/>
        <v>18</v>
      </c>
      <c r="B34" s="36" t="s">
        <v>312</v>
      </c>
      <c r="C34" s="36">
        <f>SUM(O34:S34)</f>
        <v>-61240.31000000001</v>
      </c>
      <c r="D34" s="36">
        <f>SUM(U34:Y34)</f>
        <v>-79241.10999999999</v>
      </c>
      <c r="E34" s="36"/>
      <c r="F34" s="36"/>
      <c r="G34" s="36">
        <f>ROUND(SUM(C34:F34)/2,0)</f>
        <v>-70241</v>
      </c>
      <c r="H34" s="36"/>
      <c r="I34" s="36">
        <f t="shared" si="2"/>
        <v>6617.505</v>
      </c>
      <c r="J34" s="36">
        <f t="shared" si="2"/>
        <v>28256.3</v>
      </c>
      <c r="K34" s="36">
        <f t="shared" si="2"/>
        <v>25148.985</v>
      </c>
      <c r="L34" s="36">
        <f t="shared" si="2"/>
        <v>-130263.5</v>
      </c>
      <c r="M34" s="36">
        <f t="shared" si="2"/>
        <v>0</v>
      </c>
      <c r="N34" s="36"/>
      <c r="O34" s="36">
        <v>6618.2</v>
      </c>
      <c r="P34" s="36">
        <v>34504.77</v>
      </c>
      <c r="Q34" s="36">
        <v>24619.85</v>
      </c>
      <c r="R34" s="36">
        <v>-126983.13</v>
      </c>
      <c r="S34" s="36"/>
      <c r="T34" s="36"/>
      <c r="U34" s="36">
        <v>6616.81</v>
      </c>
      <c r="V34" s="36">
        <v>22007.83</v>
      </c>
      <c r="W34" s="36">
        <v>25678.12</v>
      </c>
      <c r="X34" s="36">
        <v>-133543.87</v>
      </c>
      <c r="Y34" s="36">
        <v>0</v>
      </c>
      <c r="Z34" s="36"/>
    </row>
    <row r="35" spans="1:26" ht="12.75">
      <c r="A35" s="47">
        <f t="shared" si="3"/>
        <v>19</v>
      </c>
      <c r="B35" s="36" t="s">
        <v>313</v>
      </c>
      <c r="C35" s="36">
        <f>SUM(O35:S35)</f>
        <v>322931.7</v>
      </c>
      <c r="D35" s="36">
        <f>SUM(U35:Y35)</f>
        <v>245646.45</v>
      </c>
      <c r="E35" s="36"/>
      <c r="F35" s="36"/>
      <c r="G35" s="36">
        <f>ROUND(SUM(C35:F35)/2,0)</f>
        <v>284289</v>
      </c>
      <c r="H35" s="36"/>
      <c r="I35" s="36">
        <f t="shared" si="2"/>
        <v>-4928.7</v>
      </c>
      <c r="J35" s="36">
        <f t="shared" si="2"/>
        <v>82850.775</v>
      </c>
      <c r="K35" s="36">
        <f t="shared" si="2"/>
        <v>27042.4</v>
      </c>
      <c r="L35" s="36">
        <f t="shared" si="2"/>
        <v>179324.6</v>
      </c>
      <c r="M35" s="36">
        <f t="shared" si="2"/>
        <v>0</v>
      </c>
      <c r="N35" s="36"/>
      <c r="O35" s="36">
        <v>-6673.8</v>
      </c>
      <c r="P35" s="36">
        <v>112710.85</v>
      </c>
      <c r="Q35" s="36">
        <v>28830.9</v>
      </c>
      <c r="R35" s="36">
        <v>188063.75</v>
      </c>
      <c r="S35" s="36"/>
      <c r="T35" s="36"/>
      <c r="U35" s="36">
        <v>-3183.6</v>
      </c>
      <c r="V35" s="36">
        <v>52990.7</v>
      </c>
      <c r="W35" s="36">
        <v>25253.9</v>
      </c>
      <c r="X35" s="36">
        <v>170585.45</v>
      </c>
      <c r="Y35" s="36">
        <v>0</v>
      </c>
      <c r="Z35" s="36"/>
    </row>
    <row r="36" spans="1:26" ht="12.75">
      <c r="A36" s="47">
        <f t="shared" si="3"/>
        <v>20</v>
      </c>
      <c r="B36" s="36" t="s">
        <v>314</v>
      </c>
      <c r="C36" s="36">
        <f t="shared" si="4"/>
        <v>494192.67000000004</v>
      </c>
      <c r="D36" s="36">
        <f t="shared" si="0"/>
        <v>462422.94</v>
      </c>
      <c r="E36" s="36"/>
      <c r="F36" s="36"/>
      <c r="G36" s="36">
        <f t="shared" si="1"/>
        <v>478308</v>
      </c>
      <c r="H36" s="36"/>
      <c r="I36" s="36">
        <f t="shared" si="2"/>
        <v>2</v>
      </c>
      <c r="J36" s="36">
        <f t="shared" si="2"/>
        <v>272390.12</v>
      </c>
      <c r="K36" s="36">
        <f t="shared" si="2"/>
        <v>-0.25</v>
      </c>
      <c r="L36" s="36">
        <f t="shared" si="2"/>
        <v>205915.935</v>
      </c>
      <c r="M36" s="36">
        <f t="shared" si="2"/>
        <v>0</v>
      </c>
      <c r="N36" s="36"/>
      <c r="O36" s="36">
        <v>2</v>
      </c>
      <c r="P36" s="36">
        <v>286674.4</v>
      </c>
      <c r="Q36" s="36">
        <v>-0.25</v>
      </c>
      <c r="R36" s="36">
        <v>207516.52</v>
      </c>
      <c r="S36" s="36"/>
      <c r="T36" s="36"/>
      <c r="U36" s="36">
        <v>2</v>
      </c>
      <c r="V36" s="36">
        <v>258105.84</v>
      </c>
      <c r="W36" s="36">
        <v>-0.25</v>
      </c>
      <c r="X36" s="36">
        <v>204315.35</v>
      </c>
      <c r="Y36" s="36">
        <v>0</v>
      </c>
      <c r="Z36" s="36"/>
    </row>
    <row r="37" spans="1:26" ht="12.75">
      <c r="A37" s="47">
        <f t="shared" si="3"/>
        <v>21</v>
      </c>
      <c r="B37" s="36" t="s">
        <v>315</v>
      </c>
      <c r="C37" s="36">
        <f>SUM(O37:S37)</f>
        <v>0.41</v>
      </c>
      <c r="D37" s="36">
        <f>SUM(U37:Y37)</f>
        <v>0.41</v>
      </c>
      <c r="E37" s="36"/>
      <c r="F37" s="36"/>
      <c r="G37" s="36">
        <f>ROUND(SUM(C37:F37)/2,0)</f>
        <v>0</v>
      </c>
      <c r="H37" s="36"/>
      <c r="I37" s="36">
        <f>(+O37+U37)/2</f>
        <v>0</v>
      </c>
      <c r="J37" s="36">
        <f>(+P37+V37)/2</f>
        <v>0</v>
      </c>
      <c r="K37" s="36">
        <f>(+Q37+W37)/2</f>
        <v>0.41</v>
      </c>
      <c r="L37" s="36">
        <f>(+R37+X37)/2</f>
        <v>0</v>
      </c>
      <c r="M37" s="36">
        <f t="shared" si="2"/>
        <v>0</v>
      </c>
      <c r="N37" s="36"/>
      <c r="O37" s="36">
        <v>0</v>
      </c>
      <c r="P37" s="36">
        <v>0</v>
      </c>
      <c r="Q37" s="36">
        <v>0.41</v>
      </c>
      <c r="R37" s="36">
        <v>0</v>
      </c>
      <c r="S37" s="36"/>
      <c r="T37" s="36"/>
      <c r="U37" s="36">
        <v>0</v>
      </c>
      <c r="V37" s="36">
        <v>0</v>
      </c>
      <c r="W37" s="36">
        <v>0.41</v>
      </c>
      <c r="X37" s="36">
        <v>0</v>
      </c>
      <c r="Y37" s="36">
        <v>0</v>
      </c>
      <c r="Z37" s="36"/>
    </row>
    <row r="38" spans="1:26" ht="12.75">
      <c r="A38" s="47">
        <f t="shared" si="3"/>
        <v>22</v>
      </c>
      <c r="B38" s="36" t="s">
        <v>316</v>
      </c>
      <c r="C38" s="36">
        <f t="shared" si="4"/>
        <v>0</v>
      </c>
      <c r="D38" s="36">
        <f t="shared" si="0"/>
        <v>0</v>
      </c>
      <c r="E38" s="36"/>
      <c r="F38" s="36"/>
      <c r="G38" s="36">
        <f t="shared" si="1"/>
        <v>0</v>
      </c>
      <c r="H38" s="36"/>
      <c r="I38" s="36">
        <f t="shared" si="2"/>
        <v>0</v>
      </c>
      <c r="J38" s="36">
        <f t="shared" si="2"/>
        <v>0</v>
      </c>
      <c r="K38" s="36">
        <f t="shared" si="2"/>
        <v>0</v>
      </c>
      <c r="L38" s="36">
        <f t="shared" si="2"/>
        <v>0</v>
      </c>
      <c r="M38" s="36">
        <f t="shared" si="2"/>
        <v>0</v>
      </c>
      <c r="N38" s="36"/>
      <c r="O38" s="36">
        <v>0</v>
      </c>
      <c r="P38" s="36">
        <v>0</v>
      </c>
      <c r="Q38" s="36">
        <v>0</v>
      </c>
      <c r="R38" s="36">
        <v>0</v>
      </c>
      <c r="S38" s="36"/>
      <c r="T38" s="36"/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/>
    </row>
    <row r="39" spans="1:26" ht="12.75">
      <c r="A39" s="47">
        <f t="shared" si="3"/>
        <v>23</v>
      </c>
      <c r="B39" s="36" t="s">
        <v>144</v>
      </c>
      <c r="C39" s="36">
        <f t="shared" si="4"/>
        <v>2887063.8600000003</v>
      </c>
      <c r="D39" s="36">
        <f t="shared" si="0"/>
        <v>1887502.4</v>
      </c>
      <c r="E39" s="36"/>
      <c r="F39" s="36"/>
      <c r="G39" s="36">
        <f t="shared" si="1"/>
        <v>2387283</v>
      </c>
      <c r="H39" s="36"/>
      <c r="I39" s="36">
        <f t="shared" si="2"/>
        <v>53245.575</v>
      </c>
      <c r="J39" s="36">
        <f t="shared" si="2"/>
        <v>1631463.875</v>
      </c>
      <c r="K39" s="36">
        <f t="shared" si="2"/>
        <v>0</v>
      </c>
      <c r="L39" s="36">
        <f t="shared" si="2"/>
        <v>702573.68</v>
      </c>
      <c r="M39" s="36">
        <f t="shared" si="2"/>
        <v>0</v>
      </c>
      <c r="N39" s="36"/>
      <c r="O39" s="36">
        <v>49679.68</v>
      </c>
      <c r="P39" s="36">
        <v>2049240.37</v>
      </c>
      <c r="Q39" s="36">
        <v>0</v>
      </c>
      <c r="R39" s="36">
        <v>788143.81</v>
      </c>
      <c r="S39" s="36"/>
      <c r="T39" s="36"/>
      <c r="U39" s="36">
        <v>56811.47</v>
      </c>
      <c r="V39" s="36">
        <v>1213687.38</v>
      </c>
      <c r="W39" s="36">
        <v>0</v>
      </c>
      <c r="X39" s="36">
        <v>617003.55</v>
      </c>
      <c r="Y39" s="36">
        <v>0</v>
      </c>
      <c r="Z39" s="36"/>
    </row>
    <row r="40" spans="1:26" ht="12.75">
      <c r="A40" s="47">
        <f t="shared" si="3"/>
        <v>24</v>
      </c>
      <c r="B40" s="36" t="s">
        <v>560</v>
      </c>
      <c r="C40" s="36">
        <f>SUM(O40:S40)</f>
        <v>0</v>
      </c>
      <c r="D40" s="36">
        <f>SUM(U40:Y40)</f>
        <v>-1869.45</v>
      </c>
      <c r="E40" s="36"/>
      <c r="F40" s="36"/>
      <c r="G40" s="36">
        <f>ROUND(SUM(C40:F40)/2,0)</f>
        <v>-935</v>
      </c>
      <c r="H40" s="36"/>
      <c r="I40" s="36">
        <f>(+O40+U40)/2</f>
        <v>0</v>
      </c>
      <c r="J40" s="36">
        <f>(+P40+V40)/2</f>
        <v>-934.725</v>
      </c>
      <c r="K40" s="36">
        <f>(+Q40+W40)/2</f>
        <v>0</v>
      </c>
      <c r="L40" s="36">
        <f>(+R40+X40)/2</f>
        <v>0</v>
      </c>
      <c r="M40" s="36">
        <f>(+S40+Y40)/2</f>
        <v>0</v>
      </c>
      <c r="N40" s="36"/>
      <c r="O40" s="36">
        <v>0</v>
      </c>
      <c r="P40" s="36">
        <v>0</v>
      </c>
      <c r="Q40" s="36">
        <v>0</v>
      </c>
      <c r="R40" s="36">
        <v>0</v>
      </c>
      <c r="S40" s="36"/>
      <c r="T40" s="36"/>
      <c r="U40" s="36">
        <v>0</v>
      </c>
      <c r="V40" s="36">
        <v>-1869.45</v>
      </c>
      <c r="W40" s="36">
        <v>0</v>
      </c>
      <c r="X40" s="36">
        <v>0</v>
      </c>
      <c r="Y40" s="36">
        <v>0</v>
      </c>
      <c r="Z40" s="36"/>
    </row>
    <row r="41" spans="1:26" ht="12.75">
      <c r="A41" s="47">
        <f t="shared" si="3"/>
        <v>25</v>
      </c>
      <c r="B41" s="36" t="s">
        <v>561</v>
      </c>
      <c r="C41" s="36">
        <f>SUM(O41:S41)</f>
        <v>380133.55</v>
      </c>
      <c r="D41" s="36">
        <f>SUM(U41:Y41)</f>
        <v>988921.3</v>
      </c>
      <c r="E41" s="36"/>
      <c r="F41" s="36"/>
      <c r="G41" s="36">
        <f>ROUND(SUM(C41:F41)/2,0)</f>
        <v>684527</v>
      </c>
      <c r="H41" s="36"/>
      <c r="I41" s="36">
        <f>(+O41+U41)/2</f>
        <v>0</v>
      </c>
      <c r="J41" s="36">
        <f>(+P41+V41)/2</f>
        <v>684527.425</v>
      </c>
      <c r="K41" s="36">
        <f>(+Q41+W41)/2</f>
        <v>0</v>
      </c>
      <c r="L41" s="36">
        <f>(+R41+X41)/2</f>
        <v>0</v>
      </c>
      <c r="M41" s="36">
        <f t="shared" si="2"/>
        <v>0</v>
      </c>
      <c r="N41" s="36"/>
      <c r="O41" s="36">
        <v>0</v>
      </c>
      <c r="P41" s="36">
        <v>380133.55</v>
      </c>
      <c r="Q41" s="36">
        <v>0</v>
      </c>
      <c r="R41" s="36">
        <v>0</v>
      </c>
      <c r="S41" s="36"/>
      <c r="T41" s="36"/>
      <c r="U41" s="36">
        <v>0</v>
      </c>
      <c r="V41" s="36">
        <v>988921.3</v>
      </c>
      <c r="W41" s="36">
        <v>0</v>
      </c>
      <c r="X41" s="36">
        <v>0</v>
      </c>
      <c r="Y41" s="36">
        <v>0</v>
      </c>
      <c r="Z41" s="36"/>
    </row>
    <row r="42" spans="1:26" ht="12.75">
      <c r="A42" s="47">
        <f t="shared" si="3"/>
        <v>26</v>
      </c>
      <c r="B42" s="36" t="s">
        <v>562</v>
      </c>
      <c r="C42" s="36">
        <f t="shared" si="4"/>
        <v>172674.44</v>
      </c>
      <c r="D42" s="36">
        <f t="shared" si="0"/>
        <v>64284.77</v>
      </c>
      <c r="E42" s="36"/>
      <c r="F42" s="36"/>
      <c r="G42" s="36">
        <f t="shared" si="1"/>
        <v>118480</v>
      </c>
      <c r="H42" s="36"/>
      <c r="I42" s="36">
        <f t="shared" si="2"/>
        <v>36931.665</v>
      </c>
      <c r="J42" s="36">
        <f t="shared" si="2"/>
        <v>49378.130000000005</v>
      </c>
      <c r="K42" s="36">
        <f t="shared" si="2"/>
        <v>0.205</v>
      </c>
      <c r="L42" s="36">
        <f t="shared" si="2"/>
        <v>32169.605</v>
      </c>
      <c r="M42" s="36">
        <f t="shared" si="2"/>
        <v>0</v>
      </c>
      <c r="N42" s="36"/>
      <c r="O42" s="36">
        <v>73862.72</v>
      </c>
      <c r="P42" s="36">
        <v>98756.27</v>
      </c>
      <c r="Q42" s="36">
        <v>0.41</v>
      </c>
      <c r="R42" s="36">
        <v>55.04</v>
      </c>
      <c r="S42" s="36"/>
      <c r="T42" s="36"/>
      <c r="U42" s="36">
        <v>0.61</v>
      </c>
      <c r="V42" s="36">
        <v>-0.01</v>
      </c>
      <c r="W42" s="36">
        <v>0</v>
      </c>
      <c r="X42" s="36">
        <v>64284.17</v>
      </c>
      <c r="Y42" s="36">
        <v>0</v>
      </c>
      <c r="Z42" s="36"/>
    </row>
    <row r="43" spans="1:26" ht="12.75">
      <c r="A43" s="47">
        <f t="shared" si="3"/>
        <v>27</v>
      </c>
      <c r="B43" s="36" t="s">
        <v>563</v>
      </c>
      <c r="C43" s="36">
        <f>SUM(O43:S43)</f>
        <v>0</v>
      </c>
      <c r="D43" s="36">
        <f>SUM(U43:Y43)</f>
        <v>28702.76</v>
      </c>
      <c r="E43" s="36"/>
      <c r="F43" s="36"/>
      <c r="G43" s="36">
        <f>ROUND(SUM(C43:F43)/2,0)</f>
        <v>14351</v>
      </c>
      <c r="H43" s="36"/>
      <c r="I43" s="36">
        <f>(+O43+U43)/2</f>
        <v>0</v>
      </c>
      <c r="J43" s="36">
        <f>(+P43+V43)/2</f>
        <v>0</v>
      </c>
      <c r="K43" s="36">
        <f>(+Q43+W43)/2</f>
        <v>0</v>
      </c>
      <c r="L43" s="36">
        <f>(+R43+X43)/2</f>
        <v>14351.38</v>
      </c>
      <c r="M43" s="36">
        <f>(+S43+Y43)/2</f>
        <v>0</v>
      </c>
      <c r="N43" s="36"/>
      <c r="O43" s="36">
        <v>0</v>
      </c>
      <c r="P43" s="36">
        <v>0</v>
      </c>
      <c r="Q43" s="36">
        <v>0</v>
      </c>
      <c r="R43" s="36">
        <v>0</v>
      </c>
      <c r="S43" s="36"/>
      <c r="T43" s="36"/>
      <c r="U43" s="36">
        <v>0</v>
      </c>
      <c r="V43" s="36">
        <v>0</v>
      </c>
      <c r="W43" s="36">
        <v>0</v>
      </c>
      <c r="X43" s="36">
        <v>28702.76</v>
      </c>
      <c r="Y43" s="36">
        <v>0</v>
      </c>
      <c r="Z43" s="36"/>
    </row>
    <row r="44" spans="1:26" ht="12.75">
      <c r="A44" s="47">
        <f t="shared" si="3"/>
        <v>28</v>
      </c>
      <c r="B44" s="36" t="s">
        <v>146</v>
      </c>
      <c r="C44" s="36">
        <f t="shared" si="4"/>
        <v>60742.85</v>
      </c>
      <c r="D44" s="36">
        <f t="shared" si="0"/>
        <v>132486.55</v>
      </c>
      <c r="E44" s="36"/>
      <c r="F44" s="36"/>
      <c r="G44" s="36">
        <f t="shared" si="1"/>
        <v>96615</v>
      </c>
      <c r="H44" s="36"/>
      <c r="I44" s="36">
        <f t="shared" si="2"/>
        <v>96614.7</v>
      </c>
      <c r="J44" s="36">
        <f t="shared" si="2"/>
        <v>0</v>
      </c>
      <c r="K44" s="36">
        <f t="shared" si="2"/>
        <v>0</v>
      </c>
      <c r="L44" s="36">
        <f t="shared" si="2"/>
        <v>0</v>
      </c>
      <c r="M44" s="36">
        <f t="shared" si="2"/>
        <v>0</v>
      </c>
      <c r="N44" s="36"/>
      <c r="O44" s="36">
        <v>60742.85</v>
      </c>
      <c r="P44" s="36">
        <v>0</v>
      </c>
      <c r="Q44" s="36">
        <v>0</v>
      </c>
      <c r="R44" s="36">
        <v>0</v>
      </c>
      <c r="S44" s="36"/>
      <c r="T44" s="36"/>
      <c r="U44" s="36">
        <v>132486.55</v>
      </c>
      <c r="V44" s="36">
        <v>0</v>
      </c>
      <c r="W44" s="36">
        <v>0</v>
      </c>
      <c r="X44" s="36">
        <v>0</v>
      </c>
      <c r="Y44" s="36">
        <v>0</v>
      </c>
      <c r="Z44" s="36"/>
    </row>
    <row r="45" spans="1:26" ht="12.75">
      <c r="A45" s="47">
        <f t="shared" si="3"/>
        <v>29</v>
      </c>
      <c r="B45" s="36" t="s">
        <v>147</v>
      </c>
      <c r="C45" s="36">
        <f>SUM(O45:S45)</f>
        <v>-4961.6</v>
      </c>
      <c r="D45" s="36">
        <f>SUM(U45:Y45)</f>
        <v>-17655.4</v>
      </c>
      <c r="E45" s="36"/>
      <c r="F45" s="36"/>
      <c r="G45" s="36">
        <f>ROUND(SUM(C45:F45)/2,0)</f>
        <v>-11309</v>
      </c>
      <c r="H45" s="36"/>
      <c r="I45" s="36">
        <f t="shared" si="2"/>
        <v>-11308.5</v>
      </c>
      <c r="J45" s="36">
        <f t="shared" si="2"/>
        <v>0</v>
      </c>
      <c r="K45" s="36">
        <f t="shared" si="2"/>
        <v>0</v>
      </c>
      <c r="L45" s="36">
        <f t="shared" si="2"/>
        <v>0</v>
      </c>
      <c r="M45" s="36">
        <f t="shared" si="2"/>
        <v>0</v>
      </c>
      <c r="N45" s="36"/>
      <c r="O45" s="36">
        <v>-4961.6</v>
      </c>
      <c r="P45" s="36">
        <v>0</v>
      </c>
      <c r="Q45" s="36">
        <v>0</v>
      </c>
      <c r="R45" s="36">
        <v>0</v>
      </c>
      <c r="S45" s="36"/>
      <c r="T45" s="36"/>
      <c r="U45" s="36">
        <v>-17655.4</v>
      </c>
      <c r="V45" s="36">
        <v>0</v>
      </c>
      <c r="W45" s="36">
        <v>0</v>
      </c>
      <c r="X45" s="36">
        <v>0</v>
      </c>
      <c r="Y45" s="36">
        <v>0</v>
      </c>
      <c r="Z45" s="36"/>
    </row>
    <row r="46" spans="1:26" ht="12.75">
      <c r="A46" s="47">
        <f t="shared" si="3"/>
        <v>30</v>
      </c>
      <c r="B46" s="36" t="s">
        <v>317</v>
      </c>
      <c r="C46" s="36">
        <f>SUM(O46:S46)</f>
        <v>0</v>
      </c>
      <c r="D46" s="36">
        <f>SUM(U46:Y46)</f>
        <v>-8680000</v>
      </c>
      <c r="E46" s="36"/>
      <c r="F46" s="36"/>
      <c r="G46" s="36">
        <f>ROUND(SUM(C46:F46)/2,0)</f>
        <v>-4340000</v>
      </c>
      <c r="H46" s="36"/>
      <c r="I46" s="36">
        <f t="shared" si="2"/>
        <v>0</v>
      </c>
      <c r="J46" s="36">
        <f t="shared" si="2"/>
        <v>-4340000</v>
      </c>
      <c r="K46" s="36">
        <f t="shared" si="2"/>
        <v>0</v>
      </c>
      <c r="L46" s="36">
        <f t="shared" si="2"/>
        <v>0</v>
      </c>
      <c r="M46" s="36">
        <f t="shared" si="2"/>
        <v>0</v>
      </c>
      <c r="N46" s="36"/>
      <c r="O46" s="36">
        <v>0</v>
      </c>
      <c r="P46" s="36">
        <v>0</v>
      </c>
      <c r="Q46" s="36">
        <v>0</v>
      </c>
      <c r="R46" s="36">
        <v>0</v>
      </c>
      <c r="S46" s="36"/>
      <c r="T46" s="36"/>
      <c r="U46" s="36">
        <v>0</v>
      </c>
      <c r="V46" s="36">
        <v>-8680000</v>
      </c>
      <c r="W46" s="36">
        <v>0</v>
      </c>
      <c r="X46" s="36">
        <v>0</v>
      </c>
      <c r="Y46" s="36">
        <v>0</v>
      </c>
      <c r="Z46" s="36"/>
    </row>
    <row r="47" spans="1:26" ht="12.75">
      <c r="A47" s="47">
        <f t="shared" si="3"/>
        <v>31</v>
      </c>
      <c r="B47" s="36" t="s">
        <v>540</v>
      </c>
      <c r="C47" s="36">
        <f>SUM(O47:S47)</f>
        <v>0</v>
      </c>
      <c r="D47" s="36">
        <f>SUM(U47:Y47)</f>
        <v>886148.64</v>
      </c>
      <c r="E47" s="36"/>
      <c r="F47" s="36"/>
      <c r="G47" s="36">
        <f>ROUND(SUM(C47:F47)/2,0)</f>
        <v>443074</v>
      </c>
      <c r="H47" s="36"/>
      <c r="I47" s="36">
        <f>(+O47+U47)/2</f>
        <v>77162.75</v>
      </c>
      <c r="J47" s="36">
        <f>(+P47+V47)/2</f>
        <v>225235.675</v>
      </c>
      <c r="K47" s="36">
        <f>(+Q47+W47)/2</f>
        <v>26509.7</v>
      </c>
      <c r="L47" s="36">
        <f>(+R47+X47)/2</f>
        <v>114166.195</v>
      </c>
      <c r="M47" s="36">
        <f>(+S47+Y47)/2</f>
        <v>0</v>
      </c>
      <c r="N47" s="36"/>
      <c r="O47" s="36">
        <v>0</v>
      </c>
      <c r="P47" s="36">
        <v>0</v>
      </c>
      <c r="Q47" s="36">
        <v>0</v>
      </c>
      <c r="R47" s="36">
        <v>0</v>
      </c>
      <c r="S47" s="36"/>
      <c r="T47" s="36"/>
      <c r="U47" s="36">
        <v>154325.5</v>
      </c>
      <c r="V47" s="36">
        <v>450471.35</v>
      </c>
      <c r="W47" s="36">
        <v>53019.4</v>
      </c>
      <c r="X47" s="36">
        <v>228332.39</v>
      </c>
      <c r="Y47" s="36">
        <v>0</v>
      </c>
      <c r="Z47" s="36"/>
    </row>
    <row r="48" spans="1:26" ht="12.75">
      <c r="A48" s="47">
        <f t="shared" si="3"/>
        <v>32</v>
      </c>
      <c r="B48" s="36" t="s">
        <v>148</v>
      </c>
      <c r="C48" s="36">
        <f t="shared" si="4"/>
        <v>13783224.389999999</v>
      </c>
      <c r="D48" s="36">
        <f t="shared" si="0"/>
        <v>12670857.73</v>
      </c>
      <c r="E48" s="36"/>
      <c r="F48" s="36"/>
      <c r="G48" s="36">
        <f t="shared" si="1"/>
        <v>13227041</v>
      </c>
      <c r="H48" s="36"/>
      <c r="I48" s="36">
        <f t="shared" si="2"/>
        <v>1559970.17</v>
      </c>
      <c r="J48" s="36">
        <f t="shared" si="2"/>
        <v>9081047</v>
      </c>
      <c r="K48" s="36">
        <f t="shared" si="2"/>
        <v>491100.93</v>
      </c>
      <c r="L48" s="36">
        <f t="shared" si="2"/>
        <v>2094922.96</v>
      </c>
      <c r="M48" s="36">
        <f>(+S48+Y48)/2</f>
        <v>0</v>
      </c>
      <c r="N48" s="36"/>
      <c r="O48" s="36">
        <v>1563940.35</v>
      </c>
      <c r="P48" s="36">
        <v>9533502.86</v>
      </c>
      <c r="Q48" s="36">
        <v>494887.43</v>
      </c>
      <c r="R48" s="36">
        <v>2190893.75</v>
      </c>
      <c r="S48" s="36"/>
      <c r="T48" s="36"/>
      <c r="U48" s="36">
        <v>1555999.99</v>
      </c>
      <c r="V48" s="36">
        <v>8628591.14</v>
      </c>
      <c r="W48" s="36">
        <v>487314.43</v>
      </c>
      <c r="X48" s="36">
        <v>1998952.17</v>
      </c>
      <c r="Y48" s="36">
        <v>0</v>
      </c>
      <c r="Z48" s="36"/>
    </row>
    <row r="49" spans="1:26" ht="12.75">
      <c r="A49" s="47">
        <f t="shared" si="3"/>
        <v>33</v>
      </c>
      <c r="B49" s="36" t="s">
        <v>318</v>
      </c>
      <c r="C49" s="36">
        <f t="shared" si="4"/>
        <v>154000.04</v>
      </c>
      <c r="D49" s="36">
        <f t="shared" si="0"/>
        <v>227500.04</v>
      </c>
      <c r="E49" s="36"/>
      <c r="F49" s="36"/>
      <c r="G49" s="36">
        <f t="shared" si="1"/>
        <v>190750</v>
      </c>
      <c r="H49" s="36"/>
      <c r="I49" s="36">
        <f t="shared" si="2"/>
        <v>190750.04</v>
      </c>
      <c r="J49" s="36">
        <f t="shared" si="2"/>
        <v>0</v>
      </c>
      <c r="K49" s="36">
        <f t="shared" si="2"/>
        <v>0</v>
      </c>
      <c r="L49" s="36">
        <f t="shared" si="2"/>
        <v>0</v>
      </c>
      <c r="M49" s="36">
        <f>(+S49+Y49)/2</f>
        <v>0</v>
      </c>
      <c r="N49" s="36"/>
      <c r="O49" s="36">
        <v>154000.04</v>
      </c>
      <c r="P49" s="36">
        <v>0</v>
      </c>
      <c r="Q49" s="36">
        <v>0</v>
      </c>
      <c r="R49" s="36">
        <v>0</v>
      </c>
      <c r="S49" s="36"/>
      <c r="T49" s="36"/>
      <c r="U49" s="36">
        <v>227500.04</v>
      </c>
      <c r="V49" s="36">
        <v>0</v>
      </c>
      <c r="W49" s="36">
        <v>0</v>
      </c>
      <c r="X49" s="36">
        <v>0</v>
      </c>
      <c r="Y49" s="36">
        <v>0</v>
      </c>
      <c r="Z49" s="36"/>
    </row>
    <row r="50" spans="1:26" ht="12.75">
      <c r="A50" s="47">
        <f t="shared" si="3"/>
        <v>34</v>
      </c>
      <c r="B50" s="36" t="s">
        <v>150</v>
      </c>
      <c r="C50" s="36">
        <f t="shared" si="4"/>
        <v>4894649.71</v>
      </c>
      <c r="D50" s="36">
        <f t="shared" si="0"/>
        <v>4762371.79</v>
      </c>
      <c r="E50" s="36"/>
      <c r="F50" s="36"/>
      <c r="G50" s="36">
        <f t="shared" si="1"/>
        <v>4828511</v>
      </c>
      <c r="H50" s="36"/>
      <c r="I50" s="36">
        <f t="shared" si="2"/>
        <v>886824.01</v>
      </c>
      <c r="J50" s="36">
        <f t="shared" si="2"/>
        <v>2580094.9050000003</v>
      </c>
      <c r="K50" s="36">
        <f t="shared" si="2"/>
        <v>269160.19</v>
      </c>
      <c r="L50" s="36">
        <f t="shared" si="2"/>
        <v>1092431.645</v>
      </c>
      <c r="M50" s="36">
        <f>(+S50+Y50)/2</f>
        <v>0</v>
      </c>
      <c r="N50" s="36"/>
      <c r="O50" s="36">
        <v>879644.97</v>
      </c>
      <c r="P50" s="36">
        <v>2656946.86</v>
      </c>
      <c r="Q50" s="36">
        <v>269058.1</v>
      </c>
      <c r="R50" s="36">
        <v>1088999.78</v>
      </c>
      <c r="S50" s="36"/>
      <c r="T50" s="36"/>
      <c r="U50" s="36">
        <v>894003.05</v>
      </c>
      <c r="V50" s="36">
        <v>2503242.95</v>
      </c>
      <c r="W50" s="36">
        <v>269262.28</v>
      </c>
      <c r="X50" s="36">
        <v>1095863.51</v>
      </c>
      <c r="Y50" s="36">
        <v>0</v>
      </c>
      <c r="Z50" s="36"/>
    </row>
    <row r="51" spans="1:26" ht="12.75">
      <c r="A51" s="47">
        <f t="shared" si="3"/>
        <v>35</v>
      </c>
      <c r="B51" s="36" t="s">
        <v>319</v>
      </c>
      <c r="C51" s="36">
        <f>SUM(O51:S51)</f>
        <v>4616477.21</v>
      </c>
      <c r="D51" s="36">
        <f>SUM(U51:Y51)</f>
        <v>2583990.63</v>
      </c>
      <c r="E51" s="36"/>
      <c r="F51" s="36"/>
      <c r="G51" s="36">
        <f>ROUND(SUM(C51:F51)/2,0)</f>
        <v>3600234</v>
      </c>
      <c r="H51" s="36"/>
      <c r="I51" s="36">
        <f>(+O51+U51)/2</f>
        <v>3600233.92</v>
      </c>
      <c r="J51" s="36">
        <f>(+P51+V51)/2</f>
        <v>0</v>
      </c>
      <c r="K51" s="36">
        <f>(+Q51+W51)/2</f>
        <v>0</v>
      </c>
      <c r="L51" s="36">
        <f>(+R51+X51)/2</f>
        <v>0</v>
      </c>
      <c r="M51" s="36">
        <f>(+S51+Y51)/2</f>
        <v>0</v>
      </c>
      <c r="N51" s="36"/>
      <c r="O51" s="36">
        <v>4616477.21</v>
      </c>
      <c r="P51" s="36">
        <v>0</v>
      </c>
      <c r="Q51" s="36">
        <v>0</v>
      </c>
      <c r="R51" s="36">
        <v>0</v>
      </c>
      <c r="S51" s="36"/>
      <c r="T51" s="36"/>
      <c r="U51" s="36">
        <v>2583990.63</v>
      </c>
      <c r="V51" s="36">
        <v>0</v>
      </c>
      <c r="W51" s="36">
        <v>0</v>
      </c>
      <c r="X51" s="36">
        <v>0</v>
      </c>
      <c r="Y51" s="36">
        <v>0</v>
      </c>
      <c r="Z51" s="36"/>
    </row>
    <row r="52" spans="1:26" ht="12.75">
      <c r="A52" s="47">
        <f t="shared" si="3"/>
        <v>36</v>
      </c>
      <c r="B52" s="36" t="s">
        <v>320</v>
      </c>
      <c r="C52" s="36">
        <f>SUM(O52:S52)</f>
        <v>0</v>
      </c>
      <c r="D52" s="36">
        <f>SUM(U52:Y52)</f>
        <v>0</v>
      </c>
      <c r="E52" s="36"/>
      <c r="F52" s="36"/>
      <c r="G52" s="36">
        <f>ROUND(SUM(C52:F52)/2,0)</f>
        <v>0</v>
      </c>
      <c r="H52" s="36"/>
      <c r="I52" s="36">
        <f aca="true" t="shared" si="5" ref="I52:M53">(+O52+U52)/2</f>
        <v>0</v>
      </c>
      <c r="J52" s="36">
        <f t="shared" si="5"/>
        <v>0</v>
      </c>
      <c r="K52" s="36">
        <f t="shared" si="5"/>
        <v>0</v>
      </c>
      <c r="L52" s="36">
        <f t="shared" si="5"/>
        <v>0</v>
      </c>
      <c r="M52" s="36">
        <f t="shared" si="5"/>
        <v>0</v>
      </c>
      <c r="N52" s="36"/>
      <c r="O52" s="36">
        <v>0</v>
      </c>
      <c r="P52" s="36">
        <v>0</v>
      </c>
      <c r="Q52" s="36">
        <v>0</v>
      </c>
      <c r="R52" s="36">
        <v>0</v>
      </c>
      <c r="S52" s="36"/>
      <c r="T52" s="36"/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/>
    </row>
    <row r="53" spans="1:26" ht="12.75">
      <c r="A53" s="47">
        <f t="shared" si="3"/>
        <v>37</v>
      </c>
      <c r="B53" s="36" t="s">
        <v>576</v>
      </c>
      <c r="C53" s="36">
        <f>SUM(O53:S53)</f>
        <v>-226.38999999999942</v>
      </c>
      <c r="D53" s="36">
        <f>SUM(U53:Y53)</f>
        <v>-22979.17</v>
      </c>
      <c r="E53" s="36"/>
      <c r="F53" s="36"/>
      <c r="G53" s="36">
        <f>ROUND(SUM(C53:F53)/2,0)</f>
        <v>-11603</v>
      </c>
      <c r="H53" s="36"/>
      <c r="I53" s="36">
        <f t="shared" si="5"/>
        <v>0</v>
      </c>
      <c r="J53" s="36">
        <f t="shared" si="5"/>
        <v>-24623.559999999998</v>
      </c>
      <c r="K53" s="36">
        <f t="shared" si="5"/>
        <v>0</v>
      </c>
      <c r="L53" s="36">
        <f t="shared" si="5"/>
        <v>13020.779999999999</v>
      </c>
      <c r="M53" s="36">
        <f t="shared" si="5"/>
        <v>0</v>
      </c>
      <c r="N53" s="36"/>
      <c r="O53" s="36">
        <v>0</v>
      </c>
      <c r="P53" s="36">
        <v>-21435.3</v>
      </c>
      <c r="Q53" s="36">
        <v>0</v>
      </c>
      <c r="R53" s="36">
        <v>21208.91</v>
      </c>
      <c r="S53" s="36"/>
      <c r="T53" s="36"/>
      <c r="U53" s="36">
        <v>0</v>
      </c>
      <c r="V53" s="36">
        <v>-27811.82</v>
      </c>
      <c r="W53" s="36">
        <v>0</v>
      </c>
      <c r="X53" s="36">
        <v>4832.65</v>
      </c>
      <c r="Y53" s="36">
        <v>0</v>
      </c>
      <c r="Z53" s="36"/>
    </row>
    <row r="54" spans="1:26" ht="12.75">
      <c r="A54" s="47">
        <f t="shared" si="3"/>
        <v>38</v>
      </c>
      <c r="B54" s="36" t="s">
        <v>321</v>
      </c>
      <c r="C54" s="36">
        <f>SUM(O54:S54)</f>
        <v>423499.99</v>
      </c>
      <c r="D54" s="36">
        <f>SUM(U54:Y54)</f>
        <v>795918.5</v>
      </c>
      <c r="E54" s="36"/>
      <c r="F54" s="36"/>
      <c r="G54" s="36">
        <f>ROUND(SUM(C54:F54)/2,0)</f>
        <v>609709</v>
      </c>
      <c r="H54" s="36"/>
      <c r="I54" s="36">
        <f>(+O54+U54)/2</f>
        <v>609709.245</v>
      </c>
      <c r="J54" s="36">
        <f>(+P54+V54)/2</f>
        <v>0</v>
      </c>
      <c r="K54" s="36">
        <f>(+Q54+W54)/2</f>
        <v>0</v>
      </c>
      <c r="L54" s="36">
        <f>(+R54+X54)/2</f>
        <v>0</v>
      </c>
      <c r="M54" s="36">
        <f>(+S54+Y54)/2</f>
        <v>0</v>
      </c>
      <c r="N54" s="36"/>
      <c r="O54" s="36">
        <v>423499.99</v>
      </c>
      <c r="P54" s="36">
        <v>0</v>
      </c>
      <c r="Q54" s="36">
        <v>0</v>
      </c>
      <c r="R54" s="36">
        <v>0</v>
      </c>
      <c r="S54" s="36"/>
      <c r="T54" s="36"/>
      <c r="U54" s="36">
        <f>350000+445918.5</f>
        <v>795918.5</v>
      </c>
      <c r="V54" s="36">
        <v>0</v>
      </c>
      <c r="W54" s="36">
        <v>0</v>
      </c>
      <c r="X54" s="36">
        <v>0</v>
      </c>
      <c r="Y54" s="36">
        <v>0</v>
      </c>
      <c r="Z54" s="36"/>
    </row>
    <row r="55" spans="1:26" ht="12.75">
      <c r="A55" s="47">
        <f t="shared" si="3"/>
        <v>39</v>
      </c>
      <c r="B55" s="36" t="s">
        <v>322</v>
      </c>
      <c r="C55" s="36">
        <f t="shared" si="4"/>
        <v>-1.2999999999999998</v>
      </c>
      <c r="D55" s="36">
        <f t="shared" si="0"/>
        <v>-1.2999999999999998</v>
      </c>
      <c r="E55" s="36"/>
      <c r="F55" s="36"/>
      <c r="G55" s="36">
        <f t="shared" si="1"/>
        <v>-1</v>
      </c>
      <c r="H55" s="36"/>
      <c r="I55" s="36">
        <f t="shared" si="2"/>
        <v>0</v>
      </c>
      <c r="J55" s="36">
        <f t="shared" si="2"/>
        <v>-1</v>
      </c>
      <c r="K55" s="36">
        <f t="shared" si="2"/>
        <v>-0.65</v>
      </c>
      <c r="L55" s="36">
        <f t="shared" si="2"/>
        <v>0.35</v>
      </c>
      <c r="M55" s="36">
        <f>(+S55+Y55)/2</f>
        <v>0</v>
      </c>
      <c r="N55" s="36"/>
      <c r="O55" s="36">
        <v>0</v>
      </c>
      <c r="P55" s="36">
        <v>-1</v>
      </c>
      <c r="Q55" s="36">
        <v>-0.65</v>
      </c>
      <c r="R55" s="36">
        <v>0.35</v>
      </c>
      <c r="S55" s="36"/>
      <c r="T55" s="36"/>
      <c r="U55" s="36">
        <v>0</v>
      </c>
      <c r="V55" s="36">
        <v>-1</v>
      </c>
      <c r="W55" s="36">
        <v>-0.65</v>
      </c>
      <c r="X55" s="36">
        <v>0.35</v>
      </c>
      <c r="Y55" s="36">
        <v>0</v>
      </c>
      <c r="Z55" s="36"/>
    </row>
    <row r="56" spans="1:26" ht="12.75">
      <c r="A56" s="47">
        <f t="shared" si="3"/>
        <v>40</v>
      </c>
      <c r="B56" s="36" t="s">
        <v>323</v>
      </c>
      <c r="C56" s="36">
        <f t="shared" si="4"/>
        <v>2807936.8899999997</v>
      </c>
      <c r="D56" s="36">
        <f t="shared" si="0"/>
        <v>7631.29</v>
      </c>
      <c r="E56" s="36"/>
      <c r="F56" s="36"/>
      <c r="G56" s="36">
        <f t="shared" si="1"/>
        <v>1407784</v>
      </c>
      <c r="H56" s="36"/>
      <c r="I56" s="36">
        <f t="shared" si="2"/>
        <v>1404354.065</v>
      </c>
      <c r="J56" s="36">
        <f t="shared" si="2"/>
        <v>0</v>
      </c>
      <c r="K56" s="36">
        <f t="shared" si="2"/>
        <v>769.9000000000001</v>
      </c>
      <c r="L56" s="36">
        <f t="shared" si="2"/>
        <v>2660.125</v>
      </c>
      <c r="M56" s="36">
        <f>(+S56+Y56)/2</f>
        <v>0</v>
      </c>
      <c r="N56" s="36"/>
      <c r="O56" s="36">
        <v>2807937.48</v>
      </c>
      <c r="P56" s="36">
        <v>0</v>
      </c>
      <c r="Q56" s="36">
        <v>-0.1</v>
      </c>
      <c r="R56" s="36">
        <v>-0.49</v>
      </c>
      <c r="S56" s="36"/>
      <c r="T56" s="36"/>
      <c r="U56" s="36">
        <v>770.65</v>
      </c>
      <c r="V56" s="36">
        <v>0</v>
      </c>
      <c r="W56" s="36">
        <v>1539.9</v>
      </c>
      <c r="X56" s="36">
        <v>5320.74</v>
      </c>
      <c r="Y56" s="36">
        <v>0</v>
      </c>
      <c r="Z56" s="36"/>
    </row>
    <row r="57" spans="1:26" ht="12.75">
      <c r="A57" s="47">
        <f t="shared" si="3"/>
        <v>41</v>
      </c>
      <c r="B57" s="36" t="s">
        <v>324</v>
      </c>
      <c r="C57" s="36">
        <f>SUM(O57:S57)</f>
        <v>1245994.56</v>
      </c>
      <c r="D57" s="36">
        <f>SUM(U57:Y57)</f>
        <v>1328116.53</v>
      </c>
      <c r="E57" s="36"/>
      <c r="F57" s="36"/>
      <c r="G57" s="36">
        <f>ROUND(SUM(C57:F57)/2,0)</f>
        <v>1287056</v>
      </c>
      <c r="H57" s="36"/>
      <c r="I57" s="36">
        <f>(+O57+U57)/2</f>
        <v>0</v>
      </c>
      <c r="J57" s="36">
        <f>(+P57+V57)/2</f>
        <v>0</v>
      </c>
      <c r="K57" s="36">
        <f>(+Q57+W57)/2</f>
        <v>0</v>
      </c>
      <c r="L57" s="36">
        <f>(+R57+X57)/2</f>
        <v>1287055.545</v>
      </c>
      <c r="M57" s="36">
        <f>(+S57+Y57)/2</f>
        <v>0</v>
      </c>
      <c r="N57" s="36"/>
      <c r="O57" s="36">
        <v>0</v>
      </c>
      <c r="P57" s="36">
        <v>0</v>
      </c>
      <c r="Q57" s="36">
        <v>0</v>
      </c>
      <c r="R57" s="36">
        <v>1245994.56</v>
      </c>
      <c r="S57" s="36"/>
      <c r="T57" s="36"/>
      <c r="U57" s="36">
        <v>0</v>
      </c>
      <c r="V57" s="36">
        <v>0</v>
      </c>
      <c r="W57" s="36">
        <v>0</v>
      </c>
      <c r="X57" s="36">
        <v>1328116.53</v>
      </c>
      <c r="Y57" s="36">
        <v>0</v>
      </c>
      <c r="Z57" s="36"/>
    </row>
    <row r="58" spans="1:26" ht="12.75">
      <c r="A58" s="47">
        <f t="shared" si="3"/>
        <v>42</v>
      </c>
      <c r="B58" s="36" t="s">
        <v>153</v>
      </c>
      <c r="C58" s="36">
        <f t="shared" si="4"/>
        <v>1.8800000000010186</v>
      </c>
      <c r="D58" s="36">
        <f t="shared" si="0"/>
        <v>1.8800000000010186</v>
      </c>
      <c r="E58" s="36"/>
      <c r="F58" s="36"/>
      <c r="G58" s="36">
        <f t="shared" si="1"/>
        <v>2</v>
      </c>
      <c r="H58" s="36"/>
      <c r="I58" s="36">
        <f t="shared" si="2"/>
        <v>0.8999999999996362</v>
      </c>
      <c r="J58" s="36">
        <f t="shared" si="2"/>
        <v>1.2400000000016007</v>
      </c>
      <c r="K58" s="36">
        <f t="shared" si="2"/>
        <v>0.9899999999997817</v>
      </c>
      <c r="L58" s="36">
        <f t="shared" si="2"/>
        <v>-1.25</v>
      </c>
      <c r="M58" s="36">
        <f>(+S58+Y58)/2</f>
        <v>0</v>
      </c>
      <c r="N58" s="36"/>
      <c r="O58" s="36">
        <f>-8941.1+8942</f>
        <v>0.8999999999996362</v>
      </c>
      <c r="P58" s="36">
        <f>-17881.76+17883</f>
        <v>1.2400000000016007</v>
      </c>
      <c r="Q58" s="36">
        <f>-8941.01+8942</f>
        <v>0.9899999999997817</v>
      </c>
      <c r="R58" s="36">
        <f>-8943.25+8942</f>
        <v>-1.25</v>
      </c>
      <c r="S58" s="36"/>
      <c r="T58" s="36"/>
      <c r="U58" s="36">
        <f>-8941.1+8942</f>
        <v>0.8999999999996362</v>
      </c>
      <c r="V58" s="36">
        <f>-17881.76+17883</f>
        <v>1.2400000000016007</v>
      </c>
      <c r="W58" s="36">
        <f>-8941.01+8942</f>
        <v>0.9899999999997817</v>
      </c>
      <c r="X58" s="36">
        <f>-8943.25+8942</f>
        <v>-1.25</v>
      </c>
      <c r="Y58" s="36">
        <v>0</v>
      </c>
      <c r="Z58" s="36"/>
    </row>
    <row r="59" spans="1:26" ht="12.75">
      <c r="A59" s="47">
        <f t="shared" si="3"/>
        <v>43</v>
      </c>
      <c r="B59" s="36" t="s">
        <v>325</v>
      </c>
      <c r="C59" s="36">
        <f>SUM(O59:S59)</f>
        <v>119769.9</v>
      </c>
      <c r="D59" s="36">
        <f>SUM(U59:Y59)</f>
        <v>124118.29999999999</v>
      </c>
      <c r="E59" s="36"/>
      <c r="F59" s="36"/>
      <c r="G59" s="36">
        <f>ROUND(SUM(C59:F59)/2,0)</f>
        <v>121944</v>
      </c>
      <c r="H59" s="36"/>
      <c r="I59" s="36">
        <f t="shared" si="2"/>
        <v>-6767.575000000001</v>
      </c>
      <c r="J59" s="36">
        <f t="shared" si="2"/>
        <v>44380.525</v>
      </c>
      <c r="K59" s="36">
        <f t="shared" si="2"/>
        <v>2037.0750000000007</v>
      </c>
      <c r="L59" s="36">
        <f t="shared" si="2"/>
        <v>82294.075</v>
      </c>
      <c r="M59" s="36">
        <f t="shared" si="2"/>
        <v>0</v>
      </c>
      <c r="N59" s="36"/>
      <c r="O59" s="36">
        <f>-61350.1+41947</f>
        <v>-19403.1</v>
      </c>
      <c r="P59" s="36">
        <f>-32179.7+83895</f>
        <v>51715.3</v>
      </c>
      <c r="Q59" s="36">
        <f>-40345.2+42086</f>
        <v>1740.800000000003</v>
      </c>
      <c r="R59" s="36">
        <f>39799.9+45917</f>
        <v>85716.9</v>
      </c>
      <c r="S59" s="36"/>
      <c r="T59" s="36"/>
      <c r="U59" s="36">
        <f>-36079.05+41947</f>
        <v>5867.949999999997</v>
      </c>
      <c r="V59" s="36">
        <f>-46849.25+83895</f>
        <v>37045.75</v>
      </c>
      <c r="W59" s="36">
        <f>-39752.65+42086</f>
        <v>2333.3499999999985</v>
      </c>
      <c r="X59" s="36">
        <f>32954.25+45917</f>
        <v>78871.25</v>
      </c>
      <c r="Y59" s="36">
        <v>0</v>
      </c>
      <c r="Z59" s="36"/>
    </row>
    <row r="60" spans="1:26" ht="12.75">
      <c r="A60" s="47">
        <f t="shared" si="3"/>
        <v>44</v>
      </c>
      <c r="B60" s="36" t="s">
        <v>326</v>
      </c>
      <c r="C60" s="36">
        <f>SUM(O60:S60)</f>
        <v>23184.70000000001</v>
      </c>
      <c r="D60" s="36">
        <f>SUM(U60:Y60)</f>
        <v>163747.85000000003</v>
      </c>
      <c r="E60" s="36"/>
      <c r="F60" s="36"/>
      <c r="G60" s="36">
        <f>ROUND(SUM(C60:F60)/2,0)</f>
        <v>93466</v>
      </c>
      <c r="H60" s="36"/>
      <c r="I60" s="36">
        <f t="shared" si="2"/>
        <v>-31105.899999999994</v>
      </c>
      <c r="J60" s="36">
        <f t="shared" si="2"/>
        <v>68658.45000000001</v>
      </c>
      <c r="K60" s="36">
        <f t="shared" si="2"/>
        <v>138.0749999999971</v>
      </c>
      <c r="L60" s="36">
        <f t="shared" si="2"/>
        <v>55775.65</v>
      </c>
      <c r="M60" s="36">
        <f t="shared" si="2"/>
        <v>0</v>
      </c>
      <c r="N60" s="36"/>
      <c r="O60" s="36">
        <f>-242011+242011</f>
        <v>0</v>
      </c>
      <c r="P60" s="36">
        <f>-460837.3+484022</f>
        <v>23184.70000000001</v>
      </c>
      <c r="Q60" s="36">
        <f>-242011+242011</f>
        <v>0</v>
      </c>
      <c r="R60" s="36">
        <f>-242011+242011</f>
        <v>0</v>
      </c>
      <c r="S60" s="36"/>
      <c r="T60" s="36"/>
      <c r="U60" s="36">
        <f>-304222.8+242011</f>
        <v>-62211.79999999999</v>
      </c>
      <c r="V60" s="36">
        <f>-369889.8+484022</f>
        <v>114132.20000000001</v>
      </c>
      <c r="W60" s="36">
        <f>-241734.85+242011</f>
        <v>276.1499999999942</v>
      </c>
      <c r="X60" s="36">
        <f>-130459.7+242011</f>
        <v>111551.3</v>
      </c>
      <c r="Y60" s="36">
        <v>0</v>
      </c>
      <c r="Z60" s="36"/>
    </row>
    <row r="61" spans="1:26" ht="12.75">
      <c r="A61" s="47">
        <f t="shared" si="3"/>
        <v>45</v>
      </c>
      <c r="B61" s="36" t="s">
        <v>156</v>
      </c>
      <c r="C61" s="36">
        <f t="shared" si="4"/>
        <v>-27278.85</v>
      </c>
      <c r="D61" s="36">
        <f t="shared" si="0"/>
        <v>-27278.85</v>
      </c>
      <c r="E61" s="36"/>
      <c r="F61" s="36"/>
      <c r="G61" s="36">
        <f t="shared" si="1"/>
        <v>-27279</v>
      </c>
      <c r="H61" s="36"/>
      <c r="I61" s="36">
        <f t="shared" si="2"/>
        <v>-27278.85</v>
      </c>
      <c r="J61" s="36">
        <f t="shared" si="2"/>
        <v>0</v>
      </c>
      <c r="K61" s="36">
        <f t="shared" si="2"/>
        <v>0</v>
      </c>
      <c r="L61" s="36">
        <f t="shared" si="2"/>
        <v>0</v>
      </c>
      <c r="M61" s="36">
        <f>(+S61+Y61)/2</f>
        <v>0</v>
      </c>
      <c r="N61" s="36"/>
      <c r="O61" s="36">
        <v>-27278.85</v>
      </c>
      <c r="P61" s="36">
        <v>0</v>
      </c>
      <c r="Q61" s="36">
        <v>0</v>
      </c>
      <c r="R61" s="36">
        <v>0</v>
      </c>
      <c r="S61" s="36"/>
      <c r="T61" s="36"/>
      <c r="U61" s="36">
        <v>-27278.85</v>
      </c>
      <c r="V61" s="36">
        <v>0</v>
      </c>
      <c r="W61" s="36">
        <v>0</v>
      </c>
      <c r="X61" s="36">
        <v>0</v>
      </c>
      <c r="Y61" s="36">
        <v>0</v>
      </c>
      <c r="Z61" s="36"/>
    </row>
    <row r="62" spans="1:26" ht="12.75">
      <c r="A62" s="47">
        <f t="shared" si="3"/>
        <v>46</v>
      </c>
      <c r="B62" s="36" t="s">
        <v>158</v>
      </c>
      <c r="C62" s="36">
        <f>SUM(O62:S62)</f>
        <v>0.5</v>
      </c>
      <c r="D62" s="36">
        <f>SUM(U62:Y62)</f>
        <v>0.5</v>
      </c>
      <c r="E62" s="36"/>
      <c r="F62" s="36"/>
      <c r="G62" s="36">
        <f>ROUND(SUM(C62:F62)/2,0)</f>
        <v>1</v>
      </c>
      <c r="H62" s="36"/>
      <c r="I62" s="36">
        <f>(+O62+U62)/2</f>
        <v>0</v>
      </c>
      <c r="J62" s="36">
        <f>(+P62+V62)/2</f>
        <v>0</v>
      </c>
      <c r="K62" s="36">
        <f>(+Q62+W62)/2</f>
        <v>0.5</v>
      </c>
      <c r="L62" s="36">
        <f>(+R62+X62)/2</f>
        <v>0</v>
      </c>
      <c r="M62" s="36">
        <f>(+S62+Y62)/2</f>
        <v>0</v>
      </c>
      <c r="N62" s="36"/>
      <c r="O62" s="36">
        <v>0</v>
      </c>
      <c r="P62" s="36">
        <v>0</v>
      </c>
      <c r="Q62" s="36">
        <v>0.5</v>
      </c>
      <c r="R62" s="36">
        <v>0</v>
      </c>
      <c r="S62" s="36"/>
      <c r="T62" s="36"/>
      <c r="U62" s="36">
        <v>0</v>
      </c>
      <c r="V62" s="36">
        <v>0</v>
      </c>
      <c r="W62" s="36">
        <v>0.5</v>
      </c>
      <c r="X62" s="36">
        <v>0</v>
      </c>
      <c r="Y62" s="36">
        <v>0</v>
      </c>
      <c r="Z62" s="36"/>
    </row>
    <row r="63" spans="1:26" ht="12.75">
      <c r="A63" s="47">
        <f t="shared" si="3"/>
        <v>47</v>
      </c>
      <c r="B63" s="36" t="s">
        <v>157</v>
      </c>
      <c r="C63" s="36">
        <f t="shared" si="4"/>
        <v>-0.04</v>
      </c>
      <c r="D63" s="36">
        <f t="shared" si="0"/>
        <v>-0.04</v>
      </c>
      <c r="E63" s="36"/>
      <c r="F63" s="36"/>
      <c r="G63" s="36">
        <f t="shared" si="1"/>
        <v>0</v>
      </c>
      <c r="H63" s="36"/>
      <c r="I63" s="36">
        <f t="shared" si="2"/>
        <v>-0.04</v>
      </c>
      <c r="J63" s="36">
        <f t="shared" si="2"/>
        <v>0</v>
      </c>
      <c r="K63" s="36">
        <f t="shared" si="2"/>
        <v>0</v>
      </c>
      <c r="L63" s="36">
        <f t="shared" si="2"/>
        <v>0</v>
      </c>
      <c r="M63" s="36">
        <f>(+S63+Y63)/2</f>
        <v>0</v>
      </c>
      <c r="N63" s="36"/>
      <c r="O63" s="36">
        <v>-0.04</v>
      </c>
      <c r="P63" s="36">
        <v>0</v>
      </c>
      <c r="Q63" s="36">
        <v>0</v>
      </c>
      <c r="R63" s="36">
        <v>0</v>
      </c>
      <c r="S63" s="36"/>
      <c r="T63" s="36"/>
      <c r="U63" s="36">
        <v>-0.04</v>
      </c>
      <c r="V63" s="36">
        <v>0</v>
      </c>
      <c r="W63" s="36">
        <v>0</v>
      </c>
      <c r="X63" s="36">
        <v>0</v>
      </c>
      <c r="Y63" s="36">
        <v>0</v>
      </c>
      <c r="Z63" s="36"/>
    </row>
    <row r="64" spans="1:26" ht="12.75">
      <c r="A64" s="47">
        <f t="shared" si="3"/>
        <v>48</v>
      </c>
      <c r="B64" s="36" t="s">
        <v>160</v>
      </c>
      <c r="C64" s="36">
        <f>SUM(O64:S64)</f>
        <v>1052782.36</v>
      </c>
      <c r="D64" s="36">
        <f>SUM(U64:Y64)</f>
        <v>1630282.36</v>
      </c>
      <c r="E64" s="36"/>
      <c r="F64" s="36"/>
      <c r="G64" s="36">
        <f>ROUND(SUM(C64:F64)/2,0)</f>
        <v>1341532</v>
      </c>
      <c r="H64" s="36"/>
      <c r="I64" s="36">
        <f t="shared" si="2"/>
        <v>1341532.36</v>
      </c>
      <c r="J64" s="36">
        <f t="shared" si="2"/>
        <v>0</v>
      </c>
      <c r="K64" s="36">
        <f t="shared" si="2"/>
        <v>0</v>
      </c>
      <c r="L64" s="36">
        <f t="shared" si="2"/>
        <v>0</v>
      </c>
      <c r="M64" s="36">
        <f t="shared" si="2"/>
        <v>0</v>
      </c>
      <c r="N64" s="36"/>
      <c r="O64" s="36">
        <v>1052782.36</v>
      </c>
      <c r="P64" s="36">
        <v>0</v>
      </c>
      <c r="Q64" s="36">
        <v>0</v>
      </c>
      <c r="R64" s="36">
        <v>0</v>
      </c>
      <c r="S64" s="36"/>
      <c r="T64" s="36"/>
      <c r="U64" s="36">
        <v>1630282.36</v>
      </c>
      <c r="V64" s="36">
        <v>0</v>
      </c>
      <c r="W64" s="36">
        <v>0</v>
      </c>
      <c r="X64" s="36">
        <v>0</v>
      </c>
      <c r="Y64" s="36">
        <v>0</v>
      </c>
      <c r="Z64" s="36"/>
    </row>
    <row r="65" spans="1:26" ht="12.75">
      <c r="A65" s="47">
        <f t="shared" si="3"/>
        <v>49</v>
      </c>
      <c r="B65" s="36" t="s">
        <v>327</v>
      </c>
      <c r="C65" s="36">
        <f>SUM(O65:S65)</f>
        <v>776082.94</v>
      </c>
      <c r="D65" s="36">
        <f>SUM(U65:Y65)</f>
        <v>1530564.04</v>
      </c>
      <c r="E65" s="36"/>
      <c r="F65" s="36"/>
      <c r="G65" s="36">
        <f>ROUND(SUM(C65:F65)/2,0)</f>
        <v>1153323</v>
      </c>
      <c r="H65" s="36"/>
      <c r="I65" s="36">
        <f t="shared" si="2"/>
        <v>1153323.49</v>
      </c>
      <c r="J65" s="36">
        <f t="shared" si="2"/>
        <v>0</v>
      </c>
      <c r="K65" s="36">
        <f t="shared" si="2"/>
        <v>0</v>
      </c>
      <c r="L65" s="36">
        <f t="shared" si="2"/>
        <v>0</v>
      </c>
      <c r="M65" s="36">
        <f t="shared" si="2"/>
        <v>0</v>
      </c>
      <c r="N65" s="36"/>
      <c r="O65" s="36">
        <v>776082.94</v>
      </c>
      <c r="P65" s="36">
        <v>0</v>
      </c>
      <c r="Q65" s="36">
        <v>0</v>
      </c>
      <c r="R65" s="36">
        <v>0</v>
      </c>
      <c r="S65" s="36"/>
      <c r="T65" s="36"/>
      <c r="U65" s="36">
        <v>1530564.04</v>
      </c>
      <c r="V65" s="36">
        <v>0</v>
      </c>
      <c r="W65" s="36">
        <v>0</v>
      </c>
      <c r="X65" s="36">
        <v>0</v>
      </c>
      <c r="Y65" s="36">
        <v>0</v>
      </c>
      <c r="Z65" s="36"/>
    </row>
    <row r="66" spans="1:26" ht="12.75">
      <c r="A66" s="47">
        <f t="shared" si="3"/>
        <v>50</v>
      </c>
      <c r="B66" s="36" t="s">
        <v>267</v>
      </c>
      <c r="C66" s="36">
        <f t="shared" si="4"/>
        <v>0</v>
      </c>
      <c r="D66" s="36">
        <f t="shared" si="0"/>
        <v>0</v>
      </c>
      <c r="E66" s="36"/>
      <c r="F66" s="36"/>
      <c r="G66" s="36">
        <f aca="true" t="shared" si="6" ref="G66:G128">ROUND(SUM(C66:F66)/2,0)</f>
        <v>0</v>
      </c>
      <c r="H66" s="36"/>
      <c r="I66" s="36">
        <f t="shared" si="2"/>
        <v>0</v>
      </c>
      <c r="J66" s="36">
        <f t="shared" si="2"/>
        <v>0</v>
      </c>
      <c r="K66" s="36">
        <f t="shared" si="2"/>
        <v>0</v>
      </c>
      <c r="L66" s="36">
        <f t="shared" si="2"/>
        <v>0</v>
      </c>
      <c r="M66" s="36">
        <f>(+S66+Y66)/2</f>
        <v>0</v>
      </c>
      <c r="N66" s="36"/>
      <c r="O66" s="36">
        <v>0</v>
      </c>
      <c r="P66" s="36">
        <v>0</v>
      </c>
      <c r="Q66" s="36">
        <v>0</v>
      </c>
      <c r="R66" s="36">
        <v>0</v>
      </c>
      <c r="S66" s="36"/>
      <c r="T66" s="36"/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/>
    </row>
    <row r="67" spans="1:26" ht="12.75">
      <c r="A67" s="47">
        <f t="shared" si="3"/>
        <v>51</v>
      </c>
      <c r="B67" s="36" t="s">
        <v>164</v>
      </c>
      <c r="C67" s="36">
        <f>SUM(O67:S67)</f>
        <v>161590.26</v>
      </c>
      <c r="D67" s="36">
        <f>SUM(U67:Y67)</f>
        <v>181465.58</v>
      </c>
      <c r="E67" s="36"/>
      <c r="F67" s="36"/>
      <c r="G67" s="36">
        <f>ROUND(SUM(C67:F67)/2,0)</f>
        <v>171528</v>
      </c>
      <c r="H67" s="36"/>
      <c r="I67" s="36">
        <f t="shared" si="2"/>
        <v>0</v>
      </c>
      <c r="J67" s="36">
        <f t="shared" si="2"/>
        <v>0</v>
      </c>
      <c r="K67" s="36">
        <f t="shared" si="2"/>
        <v>171527.91999999998</v>
      </c>
      <c r="L67" s="36">
        <f t="shared" si="2"/>
        <v>0</v>
      </c>
      <c r="M67" s="36">
        <f t="shared" si="2"/>
        <v>0</v>
      </c>
      <c r="N67" s="36"/>
      <c r="O67" s="36">
        <v>0</v>
      </c>
      <c r="P67" s="36">
        <v>0</v>
      </c>
      <c r="Q67" s="36">
        <v>161590.26</v>
      </c>
      <c r="R67" s="36">
        <v>0</v>
      </c>
      <c r="S67" s="36"/>
      <c r="T67" s="36"/>
      <c r="U67" s="36">
        <v>0</v>
      </c>
      <c r="V67" s="36">
        <v>0</v>
      </c>
      <c r="W67" s="36">
        <v>181465.58</v>
      </c>
      <c r="X67" s="36">
        <v>0</v>
      </c>
      <c r="Y67" s="36">
        <v>0</v>
      </c>
      <c r="Z67" s="36"/>
    </row>
    <row r="68" spans="1:26" ht="12.75">
      <c r="A68" s="47">
        <f t="shared" si="3"/>
        <v>52</v>
      </c>
      <c r="B68" s="36" t="s">
        <v>328</v>
      </c>
      <c r="C68" s="36">
        <f>SUM(O68:S68)</f>
        <v>-0.05</v>
      </c>
      <c r="D68" s="36">
        <f>SUM(U68:Y68)</f>
        <v>-0.05</v>
      </c>
      <c r="E68" s="36"/>
      <c r="F68" s="36"/>
      <c r="G68" s="36">
        <f>ROUND(SUM(C68:F68)/2,0)</f>
        <v>0</v>
      </c>
      <c r="H68" s="36"/>
      <c r="I68" s="36">
        <f t="shared" si="2"/>
        <v>-0.05</v>
      </c>
      <c r="J68" s="36">
        <f t="shared" si="2"/>
        <v>0</v>
      </c>
      <c r="K68" s="36">
        <f t="shared" si="2"/>
        <v>0</v>
      </c>
      <c r="L68" s="36">
        <f t="shared" si="2"/>
        <v>0</v>
      </c>
      <c r="M68" s="36">
        <f t="shared" si="2"/>
        <v>0</v>
      </c>
      <c r="N68" s="36"/>
      <c r="O68" s="36">
        <v>-0.05</v>
      </c>
      <c r="P68" s="36">
        <v>0</v>
      </c>
      <c r="Q68" s="36">
        <v>0</v>
      </c>
      <c r="R68" s="36">
        <v>0</v>
      </c>
      <c r="S68" s="36"/>
      <c r="T68" s="36"/>
      <c r="U68" s="36">
        <v>-0.05</v>
      </c>
      <c r="V68" s="36">
        <v>0</v>
      </c>
      <c r="W68" s="36">
        <v>0</v>
      </c>
      <c r="X68" s="36">
        <v>0</v>
      </c>
      <c r="Y68" s="36">
        <v>0</v>
      </c>
      <c r="Z68" s="36"/>
    </row>
    <row r="69" spans="1:26" ht="12.75">
      <c r="A69" s="47">
        <f t="shared" si="3"/>
        <v>53</v>
      </c>
      <c r="B69" s="36" t="s">
        <v>329</v>
      </c>
      <c r="C69" s="36">
        <f>SUM(O69:S69)</f>
        <v>0</v>
      </c>
      <c r="D69" s="36">
        <f>SUM(U69:Y69)</f>
        <v>0</v>
      </c>
      <c r="E69" s="36"/>
      <c r="F69" s="36"/>
      <c r="G69" s="36">
        <f>ROUND(SUM(C69:F69)/2,0)</f>
        <v>0</v>
      </c>
      <c r="H69" s="36"/>
      <c r="I69" s="36">
        <f t="shared" si="2"/>
        <v>0</v>
      </c>
      <c r="J69" s="36">
        <f t="shared" si="2"/>
        <v>0</v>
      </c>
      <c r="K69" s="36">
        <f t="shared" si="2"/>
        <v>0</v>
      </c>
      <c r="L69" s="36">
        <f t="shared" si="2"/>
        <v>0</v>
      </c>
      <c r="M69" s="36">
        <f t="shared" si="2"/>
        <v>0</v>
      </c>
      <c r="N69" s="36"/>
      <c r="O69" s="36">
        <v>0</v>
      </c>
      <c r="P69" s="36">
        <v>0</v>
      </c>
      <c r="Q69" s="36">
        <v>0</v>
      </c>
      <c r="R69" s="36">
        <v>0</v>
      </c>
      <c r="S69" s="36"/>
      <c r="T69" s="36"/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/>
    </row>
    <row r="70" spans="1:26" ht="12.75">
      <c r="A70" s="47">
        <f t="shared" si="3"/>
        <v>54</v>
      </c>
      <c r="B70" s="36" t="s">
        <v>330</v>
      </c>
      <c r="C70" s="36">
        <f>SUM(O70:S70)</f>
        <v>12967.15</v>
      </c>
      <c r="D70" s="36">
        <f>SUM(U70:Y70)</f>
        <v>12967.15</v>
      </c>
      <c r="E70" s="36"/>
      <c r="F70" s="36"/>
      <c r="G70" s="36">
        <f>ROUND(SUM(C70:F70)/2,0)</f>
        <v>12967</v>
      </c>
      <c r="H70" s="36"/>
      <c r="I70" s="36">
        <f>(+O70+U70)/2</f>
        <v>12967.15</v>
      </c>
      <c r="J70" s="36">
        <f>(+P70+V70)/2</f>
        <v>0</v>
      </c>
      <c r="K70" s="36">
        <f>(+Q70+W70)/2</f>
        <v>0</v>
      </c>
      <c r="L70" s="36">
        <f>(+R70+X70)/2</f>
        <v>0</v>
      </c>
      <c r="M70" s="36">
        <f>(+S70+Y70)/2</f>
        <v>0</v>
      </c>
      <c r="N70" s="36"/>
      <c r="O70" s="36">
        <v>12967.15</v>
      </c>
      <c r="P70" s="36">
        <v>0</v>
      </c>
      <c r="Q70" s="36">
        <v>0</v>
      </c>
      <c r="R70" s="36">
        <v>0</v>
      </c>
      <c r="S70" s="36"/>
      <c r="T70" s="36"/>
      <c r="U70" s="36">
        <v>12967.15</v>
      </c>
      <c r="V70" s="36">
        <v>0</v>
      </c>
      <c r="W70" s="36">
        <v>0</v>
      </c>
      <c r="X70" s="36">
        <v>0</v>
      </c>
      <c r="Y70" s="36">
        <v>0</v>
      </c>
      <c r="Z70" s="36"/>
    </row>
    <row r="71" spans="1:26" ht="12.75">
      <c r="A71" s="47">
        <f t="shared" si="3"/>
        <v>55</v>
      </c>
      <c r="B71" s="36" t="s">
        <v>331</v>
      </c>
      <c r="C71" s="36">
        <f t="shared" si="4"/>
        <v>4583.2</v>
      </c>
      <c r="D71" s="36">
        <f t="shared" si="0"/>
        <v>4583.2</v>
      </c>
      <c r="E71" s="36"/>
      <c r="F71" s="36"/>
      <c r="G71" s="36">
        <f t="shared" si="6"/>
        <v>4583</v>
      </c>
      <c r="H71" s="36"/>
      <c r="I71" s="36">
        <f t="shared" si="2"/>
        <v>4583.2</v>
      </c>
      <c r="J71" s="36">
        <f t="shared" si="2"/>
        <v>0</v>
      </c>
      <c r="K71" s="36">
        <f t="shared" si="2"/>
        <v>0</v>
      </c>
      <c r="L71" s="36">
        <f t="shared" si="2"/>
        <v>0</v>
      </c>
      <c r="M71" s="36">
        <f t="shared" si="2"/>
        <v>0</v>
      </c>
      <c r="N71" s="36"/>
      <c r="O71" s="36">
        <v>4583.2</v>
      </c>
      <c r="P71" s="36">
        <v>0</v>
      </c>
      <c r="Q71" s="36">
        <v>0</v>
      </c>
      <c r="R71" s="36">
        <v>0</v>
      </c>
      <c r="S71" s="36"/>
      <c r="T71" s="36"/>
      <c r="U71" s="36">
        <v>4583.2</v>
      </c>
      <c r="V71" s="36">
        <v>0</v>
      </c>
      <c r="W71" s="36">
        <v>0</v>
      </c>
      <c r="X71" s="36">
        <v>0</v>
      </c>
      <c r="Y71" s="36">
        <v>0</v>
      </c>
      <c r="Z71" s="36"/>
    </row>
    <row r="72" spans="1:26" ht="12.75">
      <c r="A72" s="47">
        <f t="shared" si="3"/>
        <v>56</v>
      </c>
      <c r="B72" s="36" t="s">
        <v>172</v>
      </c>
      <c r="C72" s="36">
        <f t="shared" si="4"/>
        <v>195356.82</v>
      </c>
      <c r="D72" s="36">
        <f t="shared" si="0"/>
        <v>204955.27</v>
      </c>
      <c r="E72" s="36"/>
      <c r="F72" s="36"/>
      <c r="G72" s="36">
        <f t="shared" si="6"/>
        <v>200156</v>
      </c>
      <c r="H72" s="36"/>
      <c r="I72" s="36">
        <f t="shared" si="2"/>
        <v>0</v>
      </c>
      <c r="J72" s="36">
        <f t="shared" si="2"/>
        <v>0</v>
      </c>
      <c r="K72" s="36">
        <f t="shared" si="2"/>
        <v>0</v>
      </c>
      <c r="L72" s="36">
        <f t="shared" si="2"/>
        <v>200156.04499999998</v>
      </c>
      <c r="M72" s="36">
        <f t="shared" si="2"/>
        <v>0</v>
      </c>
      <c r="N72" s="36"/>
      <c r="O72" s="36">
        <v>0</v>
      </c>
      <c r="P72" s="36">
        <v>0</v>
      </c>
      <c r="Q72" s="36">
        <v>0</v>
      </c>
      <c r="R72" s="36">
        <v>195356.82</v>
      </c>
      <c r="S72" s="36"/>
      <c r="T72" s="36"/>
      <c r="U72" s="36">
        <v>0</v>
      </c>
      <c r="V72" s="36">
        <v>0</v>
      </c>
      <c r="W72" s="36">
        <v>0</v>
      </c>
      <c r="X72" s="36">
        <v>204955.27</v>
      </c>
      <c r="Y72" s="36">
        <v>0</v>
      </c>
      <c r="Z72" s="36"/>
    </row>
    <row r="73" spans="1:26" ht="12.75">
      <c r="A73" s="47">
        <f t="shared" si="3"/>
        <v>57</v>
      </c>
      <c r="B73" s="36" t="s">
        <v>332</v>
      </c>
      <c r="C73" s="36">
        <f t="shared" si="4"/>
        <v>6875969.95</v>
      </c>
      <c r="D73" s="36">
        <f t="shared" si="0"/>
        <v>3783383.48</v>
      </c>
      <c r="E73" s="36"/>
      <c r="F73" s="36"/>
      <c r="G73" s="36">
        <f t="shared" si="6"/>
        <v>5329677</v>
      </c>
      <c r="H73" s="36"/>
      <c r="I73" s="36">
        <f t="shared" si="2"/>
        <v>5329676.715</v>
      </c>
      <c r="J73" s="36">
        <f t="shared" si="2"/>
        <v>0</v>
      </c>
      <c r="K73" s="36">
        <f t="shared" si="2"/>
        <v>0</v>
      </c>
      <c r="L73" s="36">
        <f t="shared" si="2"/>
        <v>0</v>
      </c>
      <c r="M73" s="36">
        <f t="shared" si="2"/>
        <v>0</v>
      </c>
      <c r="N73" s="36"/>
      <c r="O73" s="36">
        <v>6875969.95</v>
      </c>
      <c r="P73" s="36">
        <v>0</v>
      </c>
      <c r="Q73" s="36">
        <v>0</v>
      </c>
      <c r="R73" s="36">
        <v>0</v>
      </c>
      <c r="S73" s="36"/>
      <c r="T73" s="36"/>
      <c r="U73" s="36">
        <v>3783383.48</v>
      </c>
      <c r="V73" s="36">
        <v>0</v>
      </c>
      <c r="W73" s="36">
        <v>0</v>
      </c>
      <c r="X73" s="36">
        <v>0</v>
      </c>
      <c r="Y73" s="36">
        <v>0</v>
      </c>
      <c r="Z73" s="36"/>
    </row>
    <row r="74" spans="1:26" ht="12.75">
      <c r="A74" s="47">
        <f t="shared" si="3"/>
        <v>58</v>
      </c>
      <c r="B74" s="36" t="s">
        <v>333</v>
      </c>
      <c r="C74" s="36">
        <f t="shared" si="4"/>
        <v>243199776.51</v>
      </c>
      <c r="D74" s="36">
        <f t="shared" si="0"/>
        <v>208989480.72</v>
      </c>
      <c r="E74" s="36"/>
      <c r="F74" s="36"/>
      <c r="G74" s="36">
        <f t="shared" si="6"/>
        <v>226094629</v>
      </c>
      <c r="H74" s="36"/>
      <c r="I74" s="36">
        <f t="shared" si="2"/>
        <v>0</v>
      </c>
      <c r="J74" s="36">
        <f t="shared" si="2"/>
        <v>226094628.615</v>
      </c>
      <c r="K74" s="36">
        <f t="shared" si="2"/>
        <v>0</v>
      </c>
      <c r="L74" s="36">
        <f t="shared" si="2"/>
        <v>0</v>
      </c>
      <c r="M74" s="36">
        <f t="shared" si="2"/>
        <v>0</v>
      </c>
      <c r="N74" s="36"/>
      <c r="O74" s="36">
        <v>0</v>
      </c>
      <c r="P74" s="36">
        <v>243199776.51</v>
      </c>
      <c r="Q74" s="36">
        <v>0</v>
      </c>
      <c r="R74" s="36">
        <v>0</v>
      </c>
      <c r="S74" s="36"/>
      <c r="T74" s="36"/>
      <c r="U74" s="36">
        <v>0</v>
      </c>
      <c r="V74" s="36">
        <v>208989480.72</v>
      </c>
      <c r="W74" s="36">
        <v>0</v>
      </c>
      <c r="X74" s="36">
        <v>0</v>
      </c>
      <c r="Y74" s="36">
        <v>0</v>
      </c>
      <c r="Z74" s="36"/>
    </row>
    <row r="75" spans="1:26" ht="12.75">
      <c r="A75" s="47">
        <f t="shared" si="3"/>
        <v>59</v>
      </c>
      <c r="B75" s="36" t="s">
        <v>175</v>
      </c>
      <c r="C75" s="36">
        <f t="shared" si="4"/>
        <v>57040.39</v>
      </c>
      <c r="D75" s="36">
        <f t="shared" si="0"/>
        <v>61604.630000000005</v>
      </c>
      <c r="E75" s="36"/>
      <c r="F75" s="36"/>
      <c r="G75" s="36">
        <f t="shared" si="6"/>
        <v>59323</v>
      </c>
      <c r="H75" s="36"/>
      <c r="I75" s="36">
        <f t="shared" si="2"/>
        <v>2843.63</v>
      </c>
      <c r="J75" s="36">
        <f t="shared" si="2"/>
        <v>17370.145</v>
      </c>
      <c r="K75" s="36">
        <f t="shared" si="2"/>
        <v>119.935</v>
      </c>
      <c r="L75" s="36">
        <f t="shared" si="2"/>
        <v>38988.8</v>
      </c>
      <c r="M75" s="36">
        <f t="shared" si="2"/>
        <v>0</v>
      </c>
      <c r="N75" s="36"/>
      <c r="O75" s="36">
        <v>2047.17</v>
      </c>
      <c r="P75" s="36">
        <v>15352.76</v>
      </c>
      <c r="Q75" s="36">
        <v>182.76</v>
      </c>
      <c r="R75" s="36">
        <v>39457.7</v>
      </c>
      <c r="S75" s="36"/>
      <c r="T75" s="36"/>
      <c r="U75" s="36">
        <v>3640.09</v>
      </c>
      <c r="V75" s="36">
        <v>19387.53</v>
      </c>
      <c r="W75" s="36">
        <v>57.11</v>
      </c>
      <c r="X75" s="36">
        <v>38519.9</v>
      </c>
      <c r="Y75" s="36">
        <v>0</v>
      </c>
      <c r="Z75" s="36"/>
    </row>
    <row r="76" spans="1:26" ht="12.75">
      <c r="A76" s="47">
        <f t="shared" si="3"/>
        <v>60</v>
      </c>
      <c r="B76" s="36" t="s">
        <v>334</v>
      </c>
      <c r="C76" s="36">
        <f t="shared" si="4"/>
        <v>-0.25</v>
      </c>
      <c r="D76" s="36">
        <f t="shared" si="0"/>
        <v>-0.25</v>
      </c>
      <c r="E76" s="36"/>
      <c r="F76" s="36"/>
      <c r="G76" s="36">
        <f t="shared" si="6"/>
        <v>0</v>
      </c>
      <c r="H76" s="36"/>
      <c r="I76" s="36">
        <f t="shared" si="2"/>
        <v>0</v>
      </c>
      <c r="J76" s="36">
        <f t="shared" si="2"/>
        <v>0</v>
      </c>
      <c r="K76" s="36">
        <f t="shared" si="2"/>
        <v>0</v>
      </c>
      <c r="L76" s="36">
        <f t="shared" si="2"/>
        <v>-0.25</v>
      </c>
      <c r="M76" s="36">
        <f t="shared" si="2"/>
        <v>0</v>
      </c>
      <c r="N76" s="36"/>
      <c r="O76" s="36">
        <v>0</v>
      </c>
      <c r="P76" s="36">
        <v>0</v>
      </c>
      <c r="Q76" s="36">
        <v>0</v>
      </c>
      <c r="R76" s="36">
        <v>-0.25</v>
      </c>
      <c r="S76" s="36"/>
      <c r="T76" s="36"/>
      <c r="U76" s="36">
        <v>0</v>
      </c>
      <c r="V76" s="36">
        <v>0</v>
      </c>
      <c r="W76" s="36">
        <v>0</v>
      </c>
      <c r="X76" s="36">
        <v>-0.25</v>
      </c>
      <c r="Y76" s="36">
        <v>0</v>
      </c>
      <c r="Z76" s="36"/>
    </row>
    <row r="77" spans="1:26" ht="12.75">
      <c r="A77" s="47">
        <f t="shared" si="3"/>
        <v>61</v>
      </c>
      <c r="B77" s="36" t="s">
        <v>335</v>
      </c>
      <c r="C77" s="36">
        <f t="shared" si="4"/>
        <v>4196366.62</v>
      </c>
      <c r="D77" s="36">
        <f t="shared" si="0"/>
        <v>4160537.47</v>
      </c>
      <c r="E77" s="36"/>
      <c r="F77" s="36"/>
      <c r="G77" s="36">
        <f t="shared" si="6"/>
        <v>4178452</v>
      </c>
      <c r="H77" s="36"/>
      <c r="I77" s="36">
        <f t="shared" si="2"/>
        <v>0</v>
      </c>
      <c r="J77" s="36">
        <f t="shared" si="2"/>
        <v>4178452.045</v>
      </c>
      <c r="K77" s="36">
        <f t="shared" si="2"/>
        <v>0</v>
      </c>
      <c r="L77" s="36">
        <f t="shared" si="2"/>
        <v>0</v>
      </c>
      <c r="M77" s="36">
        <f t="shared" si="2"/>
        <v>0</v>
      </c>
      <c r="N77" s="36"/>
      <c r="O77" s="36">
        <v>0</v>
      </c>
      <c r="P77" s="36">
        <f>4196676.62-310</f>
        <v>4196366.62</v>
      </c>
      <c r="Q77" s="36">
        <v>0</v>
      </c>
      <c r="R77" s="36">
        <v>0</v>
      </c>
      <c r="S77" s="36"/>
      <c r="T77" s="36"/>
      <c r="U77" s="36">
        <v>0</v>
      </c>
      <c r="V77" s="36">
        <f>4160847.47-310</f>
        <v>4160537.47</v>
      </c>
      <c r="W77" s="36">
        <v>0</v>
      </c>
      <c r="X77" s="36">
        <v>0</v>
      </c>
      <c r="Y77" s="36">
        <v>0</v>
      </c>
      <c r="Z77" s="36"/>
    </row>
    <row r="78" spans="1:26" ht="12.75">
      <c r="A78" s="47">
        <f t="shared" si="3"/>
        <v>62</v>
      </c>
      <c r="B78" s="36" t="s">
        <v>336</v>
      </c>
      <c r="C78" s="36">
        <f t="shared" si="4"/>
        <v>26880237.31</v>
      </c>
      <c r="D78" s="36">
        <f t="shared" si="0"/>
        <v>26735415.36</v>
      </c>
      <c r="E78" s="36"/>
      <c r="F78" s="36"/>
      <c r="G78" s="36">
        <f t="shared" si="6"/>
        <v>26807826</v>
      </c>
      <c r="H78" s="36"/>
      <c r="I78" s="36">
        <f t="shared" si="2"/>
        <v>0</v>
      </c>
      <c r="J78" s="36">
        <f t="shared" si="2"/>
        <v>26807826.335</v>
      </c>
      <c r="K78" s="36">
        <f t="shared" si="2"/>
        <v>0</v>
      </c>
      <c r="L78" s="36">
        <f t="shared" si="2"/>
        <v>0</v>
      </c>
      <c r="M78" s="36">
        <f t="shared" si="2"/>
        <v>0</v>
      </c>
      <c r="N78" s="36"/>
      <c r="O78" s="36">
        <v>0</v>
      </c>
      <c r="P78" s="36">
        <f>26879640.31+597</f>
        <v>26880237.31</v>
      </c>
      <c r="Q78" s="36">
        <v>0</v>
      </c>
      <c r="R78" s="36">
        <v>0</v>
      </c>
      <c r="S78" s="36"/>
      <c r="T78" s="36"/>
      <c r="U78" s="36">
        <v>0</v>
      </c>
      <c r="V78" s="36">
        <f>26734818.36+597</f>
        <v>26735415.36</v>
      </c>
      <c r="W78" s="36">
        <v>0</v>
      </c>
      <c r="X78" s="36">
        <v>0</v>
      </c>
      <c r="Y78" s="36">
        <v>0</v>
      </c>
      <c r="Z78" s="36"/>
    </row>
    <row r="79" spans="1:26" ht="12.75">
      <c r="A79" s="47">
        <f t="shared" si="3"/>
        <v>63</v>
      </c>
      <c r="B79" s="36" t="s">
        <v>337</v>
      </c>
      <c r="C79" s="36">
        <f t="shared" si="4"/>
        <v>8959030.01</v>
      </c>
      <c r="D79" s="36">
        <f t="shared" si="0"/>
        <v>8924906.41</v>
      </c>
      <c r="E79" s="36"/>
      <c r="F79" s="36"/>
      <c r="G79" s="36">
        <f t="shared" si="6"/>
        <v>8941968</v>
      </c>
      <c r="H79" s="36"/>
      <c r="I79" s="36">
        <f t="shared" si="2"/>
        <v>0</v>
      </c>
      <c r="J79" s="36">
        <f t="shared" si="2"/>
        <v>8941968.21</v>
      </c>
      <c r="K79" s="36">
        <f t="shared" si="2"/>
        <v>0</v>
      </c>
      <c r="L79" s="36">
        <f t="shared" si="2"/>
        <v>0</v>
      </c>
      <c r="M79" s="36">
        <f t="shared" si="2"/>
        <v>0</v>
      </c>
      <c r="N79" s="36"/>
      <c r="O79" s="36">
        <v>0</v>
      </c>
      <c r="P79" s="36">
        <f>8959007.01+23</f>
        <v>8959030.01</v>
      </c>
      <c r="Q79" s="36">
        <v>0</v>
      </c>
      <c r="R79" s="36">
        <v>0</v>
      </c>
      <c r="S79" s="36"/>
      <c r="T79" s="36"/>
      <c r="U79" s="36">
        <v>0</v>
      </c>
      <c r="V79" s="36">
        <f>8924883.41+23</f>
        <v>8924906.41</v>
      </c>
      <c r="W79" s="36">
        <v>0</v>
      </c>
      <c r="X79" s="36">
        <v>0</v>
      </c>
      <c r="Y79" s="36">
        <v>0</v>
      </c>
      <c r="Z79" s="36"/>
    </row>
    <row r="80" spans="1:26" ht="12.75">
      <c r="A80" s="47">
        <f t="shared" si="3"/>
        <v>64</v>
      </c>
      <c r="B80" s="36" t="s">
        <v>338</v>
      </c>
      <c r="C80" s="36">
        <f t="shared" si="4"/>
        <v>-24467703</v>
      </c>
      <c r="D80" s="36">
        <f t="shared" si="0"/>
        <v>-24467703</v>
      </c>
      <c r="E80" s="36"/>
      <c r="F80" s="36"/>
      <c r="G80" s="36">
        <f t="shared" si="6"/>
        <v>-24467703</v>
      </c>
      <c r="H80" s="36"/>
      <c r="I80" s="36">
        <f t="shared" si="2"/>
        <v>0</v>
      </c>
      <c r="J80" s="36">
        <f t="shared" si="2"/>
        <v>-24467703</v>
      </c>
      <c r="K80" s="36">
        <f t="shared" si="2"/>
        <v>0</v>
      </c>
      <c r="L80" s="36">
        <f t="shared" si="2"/>
        <v>0</v>
      </c>
      <c r="M80" s="36">
        <f t="shared" si="2"/>
        <v>0</v>
      </c>
      <c r="N80" s="36"/>
      <c r="O80" s="36">
        <v>0</v>
      </c>
      <c r="P80" s="36">
        <v>-24467703</v>
      </c>
      <c r="Q80" s="36">
        <v>0</v>
      </c>
      <c r="R80" s="36">
        <v>0</v>
      </c>
      <c r="S80" s="36"/>
      <c r="T80" s="36"/>
      <c r="U80" s="36">
        <v>0</v>
      </c>
      <c r="V80" s="36">
        <v>-24467703</v>
      </c>
      <c r="W80" s="36">
        <v>0</v>
      </c>
      <c r="X80" s="36">
        <v>0</v>
      </c>
      <c r="Y80" s="36">
        <v>0</v>
      </c>
      <c r="Z80" s="36"/>
    </row>
    <row r="81" spans="1:26" ht="12.75">
      <c r="A81" s="47">
        <f t="shared" si="3"/>
        <v>65</v>
      </c>
      <c r="B81" s="36" t="s">
        <v>339</v>
      </c>
      <c r="C81" s="36">
        <f>SUM(O81:S81)</f>
        <v>0</v>
      </c>
      <c r="D81" s="36">
        <f>SUM(U81:Y81)</f>
        <v>0</v>
      </c>
      <c r="E81" s="36"/>
      <c r="F81" s="36"/>
      <c r="G81" s="36">
        <f>ROUND(SUM(C81:F81)/2,0)</f>
        <v>0</v>
      </c>
      <c r="H81" s="36"/>
      <c r="I81" s="36">
        <f>(+O81+U81)/2</f>
        <v>0</v>
      </c>
      <c r="J81" s="36">
        <f>(+P81+V81)/2</f>
        <v>0</v>
      </c>
      <c r="K81" s="36">
        <f>(+Q81+W81)/2</f>
        <v>0</v>
      </c>
      <c r="L81" s="36">
        <f>(+R81+X81)/2</f>
        <v>0</v>
      </c>
      <c r="M81" s="36">
        <f t="shared" si="2"/>
        <v>0</v>
      </c>
      <c r="N81" s="36"/>
      <c r="O81" s="36">
        <v>0</v>
      </c>
      <c r="P81" s="36">
        <v>0</v>
      </c>
      <c r="Q81" s="36">
        <v>0</v>
      </c>
      <c r="R81" s="36">
        <v>0</v>
      </c>
      <c r="S81" s="36"/>
      <c r="T81" s="36"/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/>
    </row>
    <row r="82" spans="1:26" ht="12.75">
      <c r="A82" s="47">
        <f aca="true" t="shared" si="7" ref="A82:A130">A81+1</f>
        <v>66</v>
      </c>
      <c r="B82" s="36" t="s">
        <v>340</v>
      </c>
      <c r="C82" s="36">
        <f t="shared" si="4"/>
        <v>14659602.73</v>
      </c>
      <c r="D82" s="36">
        <f t="shared" si="0"/>
        <v>14663357.88</v>
      </c>
      <c r="E82" s="36"/>
      <c r="F82" s="36"/>
      <c r="G82" s="36">
        <f t="shared" si="6"/>
        <v>14661480</v>
      </c>
      <c r="H82" s="36"/>
      <c r="I82" s="36">
        <f t="shared" si="2"/>
        <v>0</v>
      </c>
      <c r="J82" s="36">
        <f t="shared" si="2"/>
        <v>14661480.305</v>
      </c>
      <c r="K82" s="36">
        <f t="shared" si="2"/>
        <v>0</v>
      </c>
      <c r="L82" s="36">
        <f t="shared" si="2"/>
        <v>0</v>
      </c>
      <c r="M82" s="36">
        <f t="shared" si="2"/>
        <v>0</v>
      </c>
      <c r="N82" s="36"/>
      <c r="O82" s="36">
        <v>0</v>
      </c>
      <c r="P82" s="36">
        <v>14659602.73</v>
      </c>
      <c r="Q82" s="36">
        <v>0</v>
      </c>
      <c r="R82" s="36">
        <v>0</v>
      </c>
      <c r="S82" s="36"/>
      <c r="T82" s="36"/>
      <c r="U82" s="36">
        <v>0</v>
      </c>
      <c r="V82" s="36">
        <v>14663357.88</v>
      </c>
      <c r="W82" s="36">
        <v>0</v>
      </c>
      <c r="X82" s="36">
        <v>0</v>
      </c>
      <c r="Y82" s="36">
        <v>0</v>
      </c>
      <c r="Z82" s="36"/>
    </row>
    <row r="83" spans="1:26" ht="12.75">
      <c r="A83" s="47">
        <f t="shared" si="7"/>
        <v>67</v>
      </c>
      <c r="B83" s="36" t="s">
        <v>341</v>
      </c>
      <c r="C83" s="36">
        <f t="shared" si="4"/>
        <v>44905334.64</v>
      </c>
      <c r="D83" s="36">
        <f t="shared" si="0"/>
        <v>44889123.69</v>
      </c>
      <c r="E83" s="36"/>
      <c r="F83" s="36"/>
      <c r="G83" s="36">
        <f t="shared" si="6"/>
        <v>44897229</v>
      </c>
      <c r="H83" s="36"/>
      <c r="I83" s="36">
        <f aca="true" t="shared" si="8" ref="I83:I117">(+O83+U83)/2</f>
        <v>0</v>
      </c>
      <c r="J83" s="36">
        <f aca="true" t="shared" si="9" ref="J83:J117">(+P83+V83)/2</f>
        <v>44897229.165</v>
      </c>
      <c r="K83" s="36">
        <f aca="true" t="shared" si="10" ref="K83:K117">(+Q83+W83)/2</f>
        <v>0</v>
      </c>
      <c r="L83" s="36">
        <f aca="true" t="shared" si="11" ref="L83:L117">(+R83+X83)/2</f>
        <v>0</v>
      </c>
      <c r="M83" s="36">
        <f aca="true" t="shared" si="12" ref="M83:M117">(+S83+Y83)/2</f>
        <v>0</v>
      </c>
      <c r="N83" s="36"/>
      <c r="O83" s="36">
        <v>0</v>
      </c>
      <c r="P83" s="36">
        <v>44905334.64</v>
      </c>
      <c r="Q83" s="36">
        <v>0</v>
      </c>
      <c r="R83" s="36">
        <v>0</v>
      </c>
      <c r="S83" s="36"/>
      <c r="T83" s="36"/>
      <c r="U83" s="36">
        <v>0</v>
      </c>
      <c r="V83" s="36">
        <v>44889123.69</v>
      </c>
      <c r="W83" s="36">
        <v>0</v>
      </c>
      <c r="X83" s="36">
        <v>0</v>
      </c>
      <c r="Y83" s="36">
        <v>0</v>
      </c>
      <c r="Z83" s="36"/>
    </row>
    <row r="84" spans="1:26" ht="12.75">
      <c r="A84" s="47">
        <f t="shared" si="7"/>
        <v>68</v>
      </c>
      <c r="B84" s="36" t="s">
        <v>342</v>
      </c>
      <c r="C84" s="36">
        <f t="shared" si="4"/>
        <v>8474562.63</v>
      </c>
      <c r="D84" s="36">
        <f t="shared" si="0"/>
        <v>8477404.28</v>
      </c>
      <c r="E84" s="36"/>
      <c r="F84" s="36"/>
      <c r="G84" s="36">
        <f t="shared" si="6"/>
        <v>8475983</v>
      </c>
      <c r="H84" s="36"/>
      <c r="I84" s="36">
        <f t="shared" si="8"/>
        <v>0</v>
      </c>
      <c r="J84" s="36">
        <f t="shared" si="9"/>
        <v>8475983.455</v>
      </c>
      <c r="K84" s="36">
        <f t="shared" si="10"/>
        <v>0</v>
      </c>
      <c r="L84" s="36">
        <f t="shared" si="11"/>
        <v>0</v>
      </c>
      <c r="M84" s="36">
        <f t="shared" si="12"/>
        <v>0</v>
      </c>
      <c r="N84" s="36"/>
      <c r="O84" s="36">
        <v>0</v>
      </c>
      <c r="P84" s="36">
        <v>8474562.63</v>
      </c>
      <c r="Q84" s="36">
        <v>0</v>
      </c>
      <c r="R84" s="36">
        <v>0</v>
      </c>
      <c r="S84" s="36"/>
      <c r="T84" s="36"/>
      <c r="U84" s="36">
        <v>0</v>
      </c>
      <c r="V84" s="36">
        <v>8477404.28</v>
      </c>
      <c r="W84" s="36">
        <v>0</v>
      </c>
      <c r="X84" s="36">
        <v>0</v>
      </c>
      <c r="Y84" s="36">
        <v>0</v>
      </c>
      <c r="Z84" s="36"/>
    </row>
    <row r="85" spans="1:26" ht="12.75">
      <c r="A85" s="47">
        <f t="shared" si="7"/>
        <v>69</v>
      </c>
      <c r="B85" s="36" t="s">
        <v>343</v>
      </c>
      <c r="C85" s="36">
        <f t="shared" si="4"/>
        <v>-68458007.75</v>
      </c>
      <c r="D85" s="36">
        <f t="shared" si="0"/>
        <v>-68418989.58</v>
      </c>
      <c r="E85" s="36"/>
      <c r="F85" s="36"/>
      <c r="G85" s="36">
        <f t="shared" si="6"/>
        <v>-68438499</v>
      </c>
      <c r="H85" s="36"/>
      <c r="I85" s="36">
        <f t="shared" si="8"/>
        <v>0</v>
      </c>
      <c r="J85" s="36">
        <f t="shared" si="9"/>
        <v>-68438498.66499999</v>
      </c>
      <c r="K85" s="36">
        <f t="shared" si="10"/>
        <v>0</v>
      </c>
      <c r="L85" s="36">
        <f t="shared" si="11"/>
        <v>0</v>
      </c>
      <c r="M85" s="36">
        <f t="shared" si="12"/>
        <v>0</v>
      </c>
      <c r="N85" s="36"/>
      <c r="O85" s="36">
        <v>0</v>
      </c>
      <c r="P85" s="36">
        <v>-68458007.75</v>
      </c>
      <c r="Q85" s="36">
        <v>0</v>
      </c>
      <c r="R85" s="36">
        <v>0</v>
      </c>
      <c r="S85" s="36"/>
      <c r="T85" s="36"/>
      <c r="U85" s="36">
        <v>0</v>
      </c>
      <c r="V85" s="36">
        <v>-68418989.58</v>
      </c>
      <c r="W85" s="36">
        <v>0</v>
      </c>
      <c r="X85" s="36">
        <v>0</v>
      </c>
      <c r="Y85" s="36">
        <v>0</v>
      </c>
      <c r="Z85" s="36"/>
    </row>
    <row r="86" spans="1:26" ht="12.75">
      <c r="A86" s="47">
        <f t="shared" si="7"/>
        <v>70</v>
      </c>
      <c r="B86" s="36" t="s">
        <v>344</v>
      </c>
      <c r="C86" s="36">
        <f t="shared" si="4"/>
        <v>0</v>
      </c>
      <c r="D86" s="36">
        <f t="shared" si="0"/>
        <v>0</v>
      </c>
      <c r="E86" s="36"/>
      <c r="F86" s="36"/>
      <c r="G86" s="36">
        <f t="shared" si="6"/>
        <v>0</v>
      </c>
      <c r="H86" s="36"/>
      <c r="I86" s="36">
        <f t="shared" si="8"/>
        <v>0</v>
      </c>
      <c r="J86" s="36">
        <f t="shared" si="9"/>
        <v>0</v>
      </c>
      <c r="K86" s="36">
        <f t="shared" si="10"/>
        <v>0</v>
      </c>
      <c r="L86" s="36">
        <f t="shared" si="11"/>
        <v>0</v>
      </c>
      <c r="M86" s="36">
        <f t="shared" si="12"/>
        <v>0</v>
      </c>
      <c r="N86" s="36"/>
      <c r="O86" s="36">
        <v>0</v>
      </c>
      <c r="P86" s="36">
        <v>0</v>
      </c>
      <c r="Q86" s="36">
        <v>0</v>
      </c>
      <c r="R86" s="36">
        <v>0</v>
      </c>
      <c r="S86" s="36"/>
      <c r="T86" s="36"/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/>
    </row>
    <row r="87" spans="1:26" ht="12.75">
      <c r="A87" s="47">
        <f t="shared" si="7"/>
        <v>71</v>
      </c>
      <c r="B87" s="36" t="s">
        <v>345</v>
      </c>
      <c r="C87" s="36">
        <f t="shared" si="4"/>
        <v>-18182333.88</v>
      </c>
      <c r="D87" s="36">
        <f t="shared" si="0"/>
        <v>-18189657.63</v>
      </c>
      <c r="E87" s="36"/>
      <c r="F87" s="36"/>
      <c r="G87" s="36">
        <f t="shared" si="6"/>
        <v>-18185996</v>
      </c>
      <c r="H87" s="36"/>
      <c r="I87" s="36">
        <f t="shared" si="8"/>
        <v>0</v>
      </c>
      <c r="J87" s="36">
        <f t="shared" si="9"/>
        <v>-18185995.755</v>
      </c>
      <c r="K87" s="36">
        <f t="shared" si="10"/>
        <v>0</v>
      </c>
      <c r="L87" s="36">
        <f t="shared" si="11"/>
        <v>0</v>
      </c>
      <c r="M87" s="36">
        <f t="shared" si="12"/>
        <v>0</v>
      </c>
      <c r="N87" s="36"/>
      <c r="O87" s="36">
        <v>0</v>
      </c>
      <c r="P87" s="36">
        <v>-18182333.88</v>
      </c>
      <c r="Q87" s="36">
        <v>0</v>
      </c>
      <c r="R87" s="36">
        <v>0</v>
      </c>
      <c r="S87" s="36"/>
      <c r="T87" s="36"/>
      <c r="U87" s="36">
        <v>0</v>
      </c>
      <c r="V87" s="36">
        <v>-18189657.63</v>
      </c>
      <c r="W87" s="36">
        <v>0</v>
      </c>
      <c r="X87" s="36">
        <v>0</v>
      </c>
      <c r="Y87" s="36">
        <v>0</v>
      </c>
      <c r="Z87" s="36"/>
    </row>
    <row r="88" spans="1:26" ht="12.75">
      <c r="A88" s="47">
        <f t="shared" si="7"/>
        <v>72</v>
      </c>
      <c r="B88" s="36" t="s">
        <v>346</v>
      </c>
      <c r="C88" s="36">
        <f t="shared" si="4"/>
        <v>-12927858.69</v>
      </c>
      <c r="D88" s="36">
        <f t="shared" si="0"/>
        <v>-12937324.09</v>
      </c>
      <c r="E88" s="36"/>
      <c r="F88" s="36"/>
      <c r="G88" s="36">
        <f t="shared" si="6"/>
        <v>-12932591</v>
      </c>
      <c r="H88" s="36"/>
      <c r="I88" s="36">
        <f t="shared" si="8"/>
        <v>0</v>
      </c>
      <c r="J88" s="36">
        <f t="shared" si="9"/>
        <v>-12932591.39</v>
      </c>
      <c r="K88" s="36">
        <f t="shared" si="10"/>
        <v>0</v>
      </c>
      <c r="L88" s="36">
        <f t="shared" si="11"/>
        <v>0</v>
      </c>
      <c r="M88" s="36">
        <f t="shared" si="12"/>
        <v>0</v>
      </c>
      <c r="N88" s="36"/>
      <c r="O88" s="36">
        <v>0</v>
      </c>
      <c r="P88" s="36">
        <v>-12927858.69</v>
      </c>
      <c r="Q88" s="36">
        <v>0</v>
      </c>
      <c r="R88" s="36">
        <v>0</v>
      </c>
      <c r="S88" s="36"/>
      <c r="T88" s="36"/>
      <c r="U88" s="36">
        <v>0</v>
      </c>
      <c r="V88" s="36">
        <v>-12937324.09</v>
      </c>
      <c r="W88" s="36">
        <v>0</v>
      </c>
      <c r="X88" s="36">
        <v>0</v>
      </c>
      <c r="Y88" s="36">
        <v>0</v>
      </c>
      <c r="Z88" s="36"/>
    </row>
    <row r="89" spans="1:26" ht="12.75">
      <c r="A89" s="47">
        <f t="shared" si="7"/>
        <v>73</v>
      </c>
      <c r="B89" s="36" t="s">
        <v>347</v>
      </c>
      <c r="C89" s="36">
        <f t="shared" si="4"/>
        <v>-1267193.65</v>
      </c>
      <c r="D89" s="36">
        <f t="shared" si="0"/>
        <v>-1274329.8</v>
      </c>
      <c r="E89" s="36"/>
      <c r="F89" s="36"/>
      <c r="G89" s="36">
        <f t="shared" si="6"/>
        <v>-1270762</v>
      </c>
      <c r="H89" s="36"/>
      <c r="I89" s="36">
        <f t="shared" si="8"/>
        <v>0</v>
      </c>
      <c r="J89" s="36">
        <f t="shared" si="9"/>
        <v>-1270761.725</v>
      </c>
      <c r="K89" s="36">
        <f t="shared" si="10"/>
        <v>0</v>
      </c>
      <c r="L89" s="36">
        <f t="shared" si="11"/>
        <v>0</v>
      </c>
      <c r="M89" s="36">
        <f t="shared" si="12"/>
        <v>0</v>
      </c>
      <c r="N89" s="36"/>
      <c r="O89" s="36">
        <v>0</v>
      </c>
      <c r="P89" s="36">
        <v>-1267193.65</v>
      </c>
      <c r="Q89" s="36">
        <v>0</v>
      </c>
      <c r="R89" s="36">
        <v>0</v>
      </c>
      <c r="S89" s="36"/>
      <c r="T89" s="36"/>
      <c r="U89" s="36">
        <v>0</v>
      </c>
      <c r="V89" s="36">
        <v>-1274329.8</v>
      </c>
      <c r="W89" s="36">
        <v>0</v>
      </c>
      <c r="X89" s="36">
        <v>0</v>
      </c>
      <c r="Y89" s="36">
        <v>0</v>
      </c>
      <c r="Z89" s="36"/>
    </row>
    <row r="90" spans="1:26" ht="12.75">
      <c r="A90" s="47">
        <f t="shared" si="7"/>
        <v>74</v>
      </c>
      <c r="B90" s="36" t="s">
        <v>348</v>
      </c>
      <c r="C90" s="36">
        <f t="shared" si="4"/>
        <v>5854547.44</v>
      </c>
      <c r="D90" s="36">
        <f t="shared" si="0"/>
        <v>5854259.39</v>
      </c>
      <c r="E90" s="36"/>
      <c r="F90" s="36"/>
      <c r="G90" s="36">
        <f t="shared" si="6"/>
        <v>5854403</v>
      </c>
      <c r="H90" s="36"/>
      <c r="I90" s="36">
        <f t="shared" si="8"/>
        <v>0</v>
      </c>
      <c r="J90" s="36">
        <f t="shared" si="9"/>
        <v>5854403.415</v>
      </c>
      <c r="K90" s="36">
        <f t="shared" si="10"/>
        <v>0</v>
      </c>
      <c r="L90" s="36">
        <f t="shared" si="11"/>
        <v>0</v>
      </c>
      <c r="M90" s="36">
        <f t="shared" si="12"/>
        <v>0</v>
      </c>
      <c r="N90" s="36"/>
      <c r="O90" s="36">
        <v>0</v>
      </c>
      <c r="P90" s="36">
        <v>5854547.44</v>
      </c>
      <c r="Q90" s="36">
        <v>0</v>
      </c>
      <c r="R90" s="36">
        <v>0</v>
      </c>
      <c r="S90" s="36"/>
      <c r="T90" s="36"/>
      <c r="U90" s="36">
        <v>0</v>
      </c>
      <c r="V90" s="36">
        <v>5854259.39</v>
      </c>
      <c r="W90" s="36">
        <v>0</v>
      </c>
      <c r="X90" s="36">
        <v>0</v>
      </c>
      <c r="Y90" s="36">
        <v>0</v>
      </c>
      <c r="Z90" s="36"/>
    </row>
    <row r="91" spans="1:26" ht="12.75">
      <c r="A91" s="47">
        <f t="shared" si="7"/>
        <v>75</v>
      </c>
      <c r="B91" s="36" t="s">
        <v>349</v>
      </c>
      <c r="C91" s="36">
        <f t="shared" si="4"/>
        <v>24252784.44</v>
      </c>
      <c r="D91" s="36">
        <f t="shared" si="0"/>
        <v>24252424.64</v>
      </c>
      <c r="E91" s="36"/>
      <c r="F91" s="36"/>
      <c r="G91" s="36">
        <f t="shared" si="6"/>
        <v>24252605</v>
      </c>
      <c r="H91" s="36"/>
      <c r="I91" s="36">
        <f t="shared" si="8"/>
        <v>0</v>
      </c>
      <c r="J91" s="36">
        <f t="shared" si="9"/>
        <v>24252604.54</v>
      </c>
      <c r="K91" s="36">
        <f t="shared" si="10"/>
        <v>0</v>
      </c>
      <c r="L91" s="36">
        <f t="shared" si="11"/>
        <v>0</v>
      </c>
      <c r="M91" s="36">
        <f t="shared" si="12"/>
        <v>0</v>
      </c>
      <c r="N91" s="36"/>
      <c r="O91" s="36">
        <v>0</v>
      </c>
      <c r="P91" s="36">
        <v>24252784.44</v>
      </c>
      <c r="Q91" s="36">
        <v>0</v>
      </c>
      <c r="R91" s="36">
        <v>0</v>
      </c>
      <c r="S91" s="36"/>
      <c r="T91" s="36"/>
      <c r="U91" s="36">
        <v>0</v>
      </c>
      <c r="V91" s="36">
        <v>24252424.64</v>
      </c>
      <c r="W91" s="36">
        <v>0</v>
      </c>
      <c r="X91" s="36">
        <v>0</v>
      </c>
      <c r="Y91" s="36">
        <v>0</v>
      </c>
      <c r="Z91" s="36"/>
    </row>
    <row r="92" spans="1:26" ht="12.75">
      <c r="A92" s="47">
        <f t="shared" si="7"/>
        <v>76</v>
      </c>
      <c r="B92" s="36" t="s">
        <v>350</v>
      </c>
      <c r="C92" s="36">
        <f t="shared" si="4"/>
        <v>1829298.99</v>
      </c>
      <c r="D92" s="36">
        <f t="shared" si="0"/>
        <v>1829015.84</v>
      </c>
      <c r="E92" s="36"/>
      <c r="F92" s="36"/>
      <c r="G92" s="36">
        <f t="shared" si="6"/>
        <v>1829157</v>
      </c>
      <c r="H92" s="36"/>
      <c r="I92" s="36">
        <f t="shared" si="8"/>
        <v>0</v>
      </c>
      <c r="J92" s="36">
        <f t="shared" si="9"/>
        <v>1829157.415</v>
      </c>
      <c r="K92" s="36">
        <f t="shared" si="10"/>
        <v>0</v>
      </c>
      <c r="L92" s="36">
        <f t="shared" si="11"/>
        <v>0</v>
      </c>
      <c r="M92" s="36">
        <f t="shared" si="12"/>
        <v>0</v>
      </c>
      <c r="N92" s="36"/>
      <c r="O92" s="36">
        <v>0</v>
      </c>
      <c r="P92" s="36">
        <v>1829298.99</v>
      </c>
      <c r="Q92" s="36">
        <v>0</v>
      </c>
      <c r="R92" s="36">
        <v>0</v>
      </c>
      <c r="S92" s="36"/>
      <c r="T92" s="36"/>
      <c r="U92" s="36">
        <v>0</v>
      </c>
      <c r="V92" s="36">
        <v>1829015.84</v>
      </c>
      <c r="W92" s="36">
        <v>0</v>
      </c>
      <c r="X92" s="36">
        <v>0</v>
      </c>
      <c r="Y92" s="36">
        <v>0</v>
      </c>
      <c r="Z92" s="36"/>
    </row>
    <row r="93" spans="1:26" ht="12.75">
      <c r="A93" s="47">
        <f t="shared" si="7"/>
        <v>77</v>
      </c>
      <c r="B93" s="36" t="s">
        <v>351</v>
      </c>
      <c r="C93" s="36">
        <f t="shared" si="4"/>
        <v>5242.639999999999</v>
      </c>
      <c r="D93" s="36">
        <f t="shared" si="0"/>
        <v>5841.81</v>
      </c>
      <c r="E93" s="36"/>
      <c r="F93" s="36"/>
      <c r="G93" s="36">
        <f t="shared" si="6"/>
        <v>5542</v>
      </c>
      <c r="H93" s="36"/>
      <c r="I93" s="36">
        <f t="shared" si="8"/>
        <v>179.01</v>
      </c>
      <c r="J93" s="36">
        <f t="shared" si="9"/>
        <v>2948.6099999999997</v>
      </c>
      <c r="K93" s="36">
        <f t="shared" si="10"/>
        <v>1179.185</v>
      </c>
      <c r="L93" s="36">
        <f t="shared" si="11"/>
        <v>1235.42</v>
      </c>
      <c r="M93" s="36">
        <f t="shared" si="12"/>
        <v>0</v>
      </c>
      <c r="N93" s="36"/>
      <c r="O93" s="36">
        <v>169.35</v>
      </c>
      <c r="P93" s="36">
        <v>2789.24</v>
      </c>
      <c r="Q93" s="36">
        <v>1115.43</v>
      </c>
      <c r="R93" s="36">
        <v>1168.62</v>
      </c>
      <c r="S93" s="36"/>
      <c r="T93" s="36"/>
      <c r="U93" s="36">
        <v>188.67</v>
      </c>
      <c r="V93" s="36">
        <v>3107.98</v>
      </c>
      <c r="W93" s="36">
        <v>1242.94</v>
      </c>
      <c r="X93" s="36">
        <v>1302.22</v>
      </c>
      <c r="Y93" s="36">
        <v>0</v>
      </c>
      <c r="Z93" s="36"/>
    </row>
    <row r="94" spans="1:26" ht="12.75">
      <c r="A94" s="47">
        <f t="shared" si="7"/>
        <v>78</v>
      </c>
      <c r="B94" s="36" t="s">
        <v>177</v>
      </c>
      <c r="C94" s="36">
        <f t="shared" si="4"/>
        <v>-5277252.27</v>
      </c>
      <c r="D94" s="36">
        <f t="shared" si="0"/>
        <v>-1437208.6600000001</v>
      </c>
      <c r="E94" s="36"/>
      <c r="F94" s="36"/>
      <c r="G94" s="36">
        <f t="shared" si="6"/>
        <v>-3357230</v>
      </c>
      <c r="H94" s="36"/>
      <c r="I94" s="36">
        <f t="shared" si="8"/>
        <v>-856053.16</v>
      </c>
      <c r="J94" s="36">
        <f t="shared" si="9"/>
        <v>-945933.365</v>
      </c>
      <c r="K94" s="36">
        <f t="shared" si="10"/>
        <v>-161176.24500000002</v>
      </c>
      <c r="L94" s="36">
        <f t="shared" si="11"/>
        <v>-1394067.695</v>
      </c>
      <c r="M94" s="36">
        <f t="shared" si="12"/>
        <v>0</v>
      </c>
      <c r="N94" s="36"/>
      <c r="O94" s="36">
        <v>-1309058.32</v>
      </c>
      <c r="P94" s="36">
        <v>-1652629.32</v>
      </c>
      <c r="Q94" s="36">
        <v>-277093.34</v>
      </c>
      <c r="R94" s="36">
        <v>-2038471.29</v>
      </c>
      <c r="S94" s="36"/>
      <c r="T94" s="36"/>
      <c r="U94" s="36">
        <v>-403048</v>
      </c>
      <c r="V94" s="36">
        <v>-239237.41</v>
      </c>
      <c r="W94" s="36">
        <v>-45259.15</v>
      </c>
      <c r="X94" s="36">
        <v>-749664.1</v>
      </c>
      <c r="Y94" s="36">
        <v>0</v>
      </c>
      <c r="Z94" s="36"/>
    </row>
    <row r="95" spans="1:26" ht="12.75">
      <c r="A95" s="47">
        <f t="shared" si="7"/>
        <v>79</v>
      </c>
      <c r="B95" s="36" t="s">
        <v>179</v>
      </c>
      <c r="C95" s="36">
        <f>SUM(O95:S95)</f>
        <v>-9192411.11</v>
      </c>
      <c r="D95" s="36">
        <f>SUM(U95:Y95)</f>
        <v>-12049774.379999999</v>
      </c>
      <c r="E95" s="36"/>
      <c r="F95" s="36"/>
      <c r="G95" s="36">
        <f>ROUND(SUM(C95:F95)/2,0)</f>
        <v>-10621093</v>
      </c>
      <c r="H95" s="36"/>
      <c r="I95" s="36">
        <f t="shared" si="8"/>
        <v>-2208334.66</v>
      </c>
      <c r="J95" s="36">
        <f t="shared" si="9"/>
        <v>-3388421.26</v>
      </c>
      <c r="K95" s="36">
        <f t="shared" si="10"/>
        <v>-818889.4750000001</v>
      </c>
      <c r="L95" s="36">
        <f t="shared" si="11"/>
        <v>-4205447.35</v>
      </c>
      <c r="M95" s="36">
        <f t="shared" si="12"/>
        <v>0</v>
      </c>
      <c r="N95" s="36"/>
      <c r="O95" s="36">
        <v>-1866511.47</v>
      </c>
      <c r="P95" s="36">
        <v>-2868351.02</v>
      </c>
      <c r="Q95" s="36">
        <v>-723381.3</v>
      </c>
      <c r="R95" s="36">
        <v>-3734167.32</v>
      </c>
      <c r="S95" s="36"/>
      <c r="T95" s="36"/>
      <c r="U95" s="36">
        <v>-2550157.85</v>
      </c>
      <c r="V95" s="36">
        <v>-3908491.5</v>
      </c>
      <c r="W95" s="36">
        <v>-914397.65</v>
      </c>
      <c r="X95" s="36">
        <v>-4676727.38</v>
      </c>
      <c r="Y95" s="36">
        <v>0</v>
      </c>
      <c r="Z95" s="36"/>
    </row>
    <row r="96" spans="1:26" ht="12.75">
      <c r="A96" s="47">
        <f t="shared" si="7"/>
        <v>80</v>
      </c>
      <c r="B96" s="36" t="s">
        <v>352</v>
      </c>
      <c r="C96" s="36">
        <f t="shared" si="4"/>
        <v>2049925.8800000001</v>
      </c>
      <c r="D96" s="36">
        <f t="shared" si="0"/>
        <v>1703581.6700000002</v>
      </c>
      <c r="E96" s="36"/>
      <c r="F96" s="36"/>
      <c r="G96" s="36">
        <f t="shared" si="6"/>
        <v>1876754</v>
      </c>
      <c r="H96" s="36"/>
      <c r="I96" s="36">
        <f t="shared" si="8"/>
        <v>465510.365</v>
      </c>
      <c r="J96" s="36">
        <f t="shared" si="9"/>
        <v>989359.915</v>
      </c>
      <c r="K96" s="36">
        <f t="shared" si="10"/>
        <v>81451.08499999999</v>
      </c>
      <c r="L96" s="36">
        <f t="shared" si="11"/>
        <v>340432.41000000003</v>
      </c>
      <c r="M96" s="36">
        <f t="shared" si="12"/>
        <v>0</v>
      </c>
      <c r="N96" s="36"/>
      <c r="O96" s="36">
        <v>559749.6</v>
      </c>
      <c r="P96" s="36">
        <v>909327.86</v>
      </c>
      <c r="Q96" s="36">
        <v>80872.61</v>
      </c>
      <c r="R96" s="36">
        <v>499975.81</v>
      </c>
      <c r="S96" s="36"/>
      <c r="T96" s="36"/>
      <c r="U96" s="36">
        <v>371271.13</v>
      </c>
      <c r="V96" s="36">
        <v>1069391.97</v>
      </c>
      <c r="W96" s="36">
        <v>82029.56</v>
      </c>
      <c r="X96" s="36">
        <v>180889.01</v>
      </c>
      <c r="Y96" s="36">
        <v>0</v>
      </c>
      <c r="Z96" s="36"/>
    </row>
    <row r="97" spans="1:26" ht="12.75">
      <c r="A97" s="47">
        <f t="shared" si="7"/>
        <v>81</v>
      </c>
      <c r="B97" s="36" t="s">
        <v>353</v>
      </c>
      <c r="C97" s="36">
        <f>SUM(O97:S97)</f>
        <v>0.02</v>
      </c>
      <c r="D97" s="36">
        <f>SUM(U97:Y97)</f>
        <v>0.02</v>
      </c>
      <c r="E97" s="36"/>
      <c r="F97" s="36"/>
      <c r="G97" s="36">
        <f>ROUND(SUM(C97:F97)/2,0)</f>
        <v>0</v>
      </c>
      <c r="H97" s="36"/>
      <c r="I97" s="36">
        <f t="shared" si="8"/>
        <v>0</v>
      </c>
      <c r="J97" s="36">
        <f t="shared" si="9"/>
        <v>0</v>
      </c>
      <c r="K97" s="36">
        <f t="shared" si="10"/>
        <v>0</v>
      </c>
      <c r="L97" s="36">
        <f t="shared" si="11"/>
        <v>0.02</v>
      </c>
      <c r="M97" s="36">
        <f t="shared" si="12"/>
        <v>0</v>
      </c>
      <c r="N97" s="36"/>
      <c r="O97" s="36">
        <v>0</v>
      </c>
      <c r="P97" s="36">
        <v>0</v>
      </c>
      <c r="Q97" s="36">
        <v>0</v>
      </c>
      <c r="R97" s="36">
        <v>0.02</v>
      </c>
      <c r="S97" s="36"/>
      <c r="T97" s="36"/>
      <c r="U97" s="36">
        <v>0</v>
      </c>
      <c r="V97" s="36">
        <v>0</v>
      </c>
      <c r="W97" s="36">
        <v>0</v>
      </c>
      <c r="X97" s="36">
        <v>0.02</v>
      </c>
      <c r="Y97" s="36">
        <v>0</v>
      </c>
      <c r="Z97" s="36"/>
    </row>
    <row r="98" spans="1:26" ht="12.75">
      <c r="A98" s="47">
        <f t="shared" si="7"/>
        <v>82</v>
      </c>
      <c r="B98" s="36" t="s">
        <v>181</v>
      </c>
      <c r="C98" s="36">
        <f t="shared" si="4"/>
        <v>469891991.07000005</v>
      </c>
      <c r="D98" s="36">
        <f t="shared" si="0"/>
        <v>439314434.44</v>
      </c>
      <c r="E98" s="36"/>
      <c r="F98" s="36"/>
      <c r="G98" s="36">
        <f t="shared" si="6"/>
        <v>454603213</v>
      </c>
      <c r="H98" s="36"/>
      <c r="I98" s="36">
        <f t="shared" si="8"/>
        <v>17568360.105</v>
      </c>
      <c r="J98" s="36">
        <f t="shared" si="9"/>
        <v>436815300.83500004</v>
      </c>
      <c r="K98" s="36">
        <f t="shared" si="10"/>
        <v>0.35</v>
      </c>
      <c r="L98" s="36">
        <f t="shared" si="11"/>
        <v>219551.46500000003</v>
      </c>
      <c r="M98" s="36">
        <f t="shared" si="12"/>
        <v>0</v>
      </c>
      <c r="N98" s="36"/>
      <c r="O98" s="36">
        <v>22709259.43</v>
      </c>
      <c r="P98" s="36">
        <v>446956572.75</v>
      </c>
      <c r="Q98" s="36">
        <v>0.35</v>
      </c>
      <c r="R98" s="36">
        <v>226158.54</v>
      </c>
      <c r="S98" s="36"/>
      <c r="T98" s="36"/>
      <c r="U98" s="36">
        <v>12427460.78</v>
      </c>
      <c r="V98" s="36">
        <v>426674028.92</v>
      </c>
      <c r="W98" s="36">
        <v>0.35</v>
      </c>
      <c r="X98" s="36">
        <v>212944.39</v>
      </c>
      <c r="Y98" s="36">
        <v>0</v>
      </c>
      <c r="Z98" s="36"/>
    </row>
    <row r="99" spans="1:26" ht="12.75">
      <c r="A99" s="47">
        <f t="shared" si="7"/>
        <v>83</v>
      </c>
      <c r="B99" s="36" t="s">
        <v>543</v>
      </c>
      <c r="C99" s="36">
        <f>SUM(O99:S99)</f>
        <v>83763.76</v>
      </c>
      <c r="D99" s="36">
        <f>SUM(U99:Y99)</f>
        <v>83763.76</v>
      </c>
      <c r="E99" s="36"/>
      <c r="F99" s="36"/>
      <c r="G99" s="36">
        <f>ROUND(SUM(C99:F99)/2,0)</f>
        <v>83764</v>
      </c>
      <c r="H99" s="36"/>
      <c r="I99" s="36">
        <f t="shared" si="8"/>
        <v>83763.76</v>
      </c>
      <c r="J99" s="36">
        <f t="shared" si="9"/>
        <v>0</v>
      </c>
      <c r="K99" s="36">
        <f t="shared" si="10"/>
        <v>0</v>
      </c>
      <c r="L99" s="36">
        <f t="shared" si="11"/>
        <v>0</v>
      </c>
      <c r="M99" s="36">
        <f t="shared" si="12"/>
        <v>0</v>
      </c>
      <c r="N99" s="36"/>
      <c r="O99" s="36">
        <v>83763.76</v>
      </c>
      <c r="P99" s="36">
        <v>0</v>
      </c>
      <c r="Q99" s="36">
        <v>0</v>
      </c>
      <c r="R99" s="36">
        <v>0</v>
      </c>
      <c r="S99" s="36"/>
      <c r="T99" s="36"/>
      <c r="U99" s="36">
        <v>83763.76</v>
      </c>
      <c r="V99" s="36">
        <v>0</v>
      </c>
      <c r="W99" s="36">
        <v>0</v>
      </c>
      <c r="X99" s="36">
        <v>0</v>
      </c>
      <c r="Y99" s="36">
        <v>0</v>
      </c>
      <c r="Z99" s="36"/>
    </row>
    <row r="100" spans="1:26" ht="12.75">
      <c r="A100" s="47">
        <f t="shared" si="7"/>
        <v>84</v>
      </c>
      <c r="B100" s="36" t="s">
        <v>354</v>
      </c>
      <c r="C100" s="36">
        <f aca="true" t="shared" si="13" ref="C100:C115">SUM(O100:S100)</f>
        <v>3175872</v>
      </c>
      <c r="D100" s="36">
        <f aca="true" t="shared" si="14" ref="D100:D115">SUM(U100:Y100)</f>
        <v>3572856</v>
      </c>
      <c r="E100" s="36"/>
      <c r="F100" s="36"/>
      <c r="G100" s="36">
        <f t="shared" si="6"/>
        <v>3374364</v>
      </c>
      <c r="H100" s="36"/>
      <c r="I100" s="36">
        <f t="shared" si="8"/>
        <v>3374364</v>
      </c>
      <c r="J100" s="36">
        <f t="shared" si="9"/>
        <v>0</v>
      </c>
      <c r="K100" s="36">
        <f t="shared" si="10"/>
        <v>0</v>
      </c>
      <c r="L100" s="36">
        <f t="shared" si="11"/>
        <v>0</v>
      </c>
      <c r="M100" s="36">
        <f t="shared" si="12"/>
        <v>0</v>
      </c>
      <c r="N100" s="36"/>
      <c r="O100" s="36">
        <v>3175872</v>
      </c>
      <c r="P100" s="36">
        <v>0</v>
      </c>
      <c r="Q100" s="36">
        <v>0</v>
      </c>
      <c r="R100" s="36">
        <v>0</v>
      </c>
      <c r="S100" s="36"/>
      <c r="T100" s="36"/>
      <c r="U100" s="36">
        <v>3572856</v>
      </c>
      <c r="V100" s="36">
        <v>0</v>
      </c>
      <c r="W100" s="36">
        <v>0</v>
      </c>
      <c r="X100" s="36">
        <v>0</v>
      </c>
      <c r="Y100" s="36">
        <v>0</v>
      </c>
      <c r="Z100" s="36"/>
    </row>
    <row r="101" spans="1:26" ht="12.75">
      <c r="A101" s="47">
        <f t="shared" si="7"/>
        <v>85</v>
      </c>
      <c r="B101" s="36" t="s">
        <v>186</v>
      </c>
      <c r="C101" s="36">
        <f>SUM(O101:S101)</f>
        <v>-201014.75</v>
      </c>
      <c r="D101" s="36">
        <f>SUM(U101:Y101)</f>
        <v>-201014.75</v>
      </c>
      <c r="E101" s="36"/>
      <c r="F101" s="36"/>
      <c r="G101" s="36">
        <f>ROUND(SUM(C101:F101)/2,0)</f>
        <v>-201015</v>
      </c>
      <c r="H101" s="36"/>
      <c r="I101" s="36">
        <f t="shared" si="8"/>
        <v>-201014.75</v>
      </c>
      <c r="J101" s="36">
        <f t="shared" si="9"/>
        <v>0</v>
      </c>
      <c r="K101" s="36">
        <f t="shared" si="10"/>
        <v>0</v>
      </c>
      <c r="L101" s="36">
        <f t="shared" si="11"/>
        <v>0</v>
      </c>
      <c r="M101" s="36">
        <f t="shared" si="12"/>
        <v>0</v>
      </c>
      <c r="N101" s="36"/>
      <c r="O101" s="36">
        <f>-376080.75+175066</f>
        <v>-201014.75</v>
      </c>
      <c r="P101" s="36">
        <v>0</v>
      </c>
      <c r="Q101" s="36">
        <v>0</v>
      </c>
      <c r="R101" s="36">
        <v>0</v>
      </c>
      <c r="S101" s="36"/>
      <c r="T101" s="36"/>
      <c r="U101" s="36">
        <f>-376080.75+175066</f>
        <v>-201014.75</v>
      </c>
      <c r="V101" s="36">
        <f>164718-164718</f>
        <v>0</v>
      </c>
      <c r="W101" s="36">
        <f>-175416+175416</f>
        <v>0</v>
      </c>
      <c r="X101" s="36">
        <f>-175066+175066</f>
        <v>0</v>
      </c>
      <c r="Y101" s="36">
        <v>0</v>
      </c>
      <c r="Z101" s="36"/>
    </row>
    <row r="102" spans="1:26" ht="12.75">
      <c r="A102" s="47">
        <f t="shared" si="7"/>
        <v>86</v>
      </c>
      <c r="B102" s="36" t="s">
        <v>187</v>
      </c>
      <c r="C102" s="36">
        <f>SUM(O102:S102)</f>
        <v>0</v>
      </c>
      <c r="D102" s="36">
        <f>SUM(U102:Y102)</f>
        <v>0</v>
      </c>
      <c r="E102" s="36"/>
      <c r="F102" s="36"/>
      <c r="G102" s="36">
        <f>ROUND(SUM(C102:F102)/2,0)</f>
        <v>0</v>
      </c>
      <c r="H102" s="36"/>
      <c r="I102" s="36">
        <f t="shared" si="8"/>
        <v>0</v>
      </c>
      <c r="J102" s="36">
        <f t="shared" si="9"/>
        <v>0</v>
      </c>
      <c r="K102" s="36">
        <f t="shared" si="10"/>
        <v>0</v>
      </c>
      <c r="L102" s="36">
        <f t="shared" si="11"/>
        <v>0</v>
      </c>
      <c r="M102" s="36">
        <f t="shared" si="12"/>
        <v>0</v>
      </c>
      <c r="N102" s="36"/>
      <c r="O102" s="36">
        <v>0</v>
      </c>
      <c r="P102" s="36">
        <v>0</v>
      </c>
      <c r="Q102" s="36">
        <v>0</v>
      </c>
      <c r="R102" s="36">
        <v>0</v>
      </c>
      <c r="S102" s="36"/>
      <c r="T102" s="36"/>
      <c r="U102" s="36">
        <f>-195300+195300</f>
        <v>0</v>
      </c>
      <c r="V102" s="36">
        <v>0</v>
      </c>
      <c r="W102" s="36">
        <f>-195650+195650</f>
        <v>0</v>
      </c>
      <c r="X102" s="36">
        <f>-195650+195650</f>
        <v>0</v>
      </c>
      <c r="Y102" s="36">
        <v>0</v>
      </c>
      <c r="Z102" s="36"/>
    </row>
    <row r="103" spans="1:26" ht="12.75">
      <c r="A103" s="47">
        <f t="shared" si="7"/>
        <v>87</v>
      </c>
      <c r="B103" s="36" t="s">
        <v>355</v>
      </c>
      <c r="C103" s="36">
        <f>SUM(O103:S103)</f>
        <v>880778.8099999999</v>
      </c>
      <c r="D103" s="36">
        <f>SUM(U103:Y103)</f>
        <v>367049.16000000003</v>
      </c>
      <c r="E103" s="36"/>
      <c r="F103" s="36"/>
      <c r="G103" s="36">
        <f>ROUND(SUM(C103:F103)/2,0)</f>
        <v>623914</v>
      </c>
      <c r="H103" s="36"/>
      <c r="I103" s="36">
        <f t="shared" si="8"/>
        <v>-2632.459999999999</v>
      </c>
      <c r="J103" s="36">
        <f t="shared" si="9"/>
        <v>23763.565000000002</v>
      </c>
      <c r="K103" s="36">
        <f t="shared" si="10"/>
        <v>-61.88500000000204</v>
      </c>
      <c r="L103" s="36">
        <f t="shared" si="11"/>
        <v>602844.765</v>
      </c>
      <c r="M103" s="36">
        <f t="shared" si="12"/>
        <v>0</v>
      </c>
      <c r="N103" s="36"/>
      <c r="O103" s="36">
        <f>-92607.11+92607</f>
        <v>-0.11000000000058208</v>
      </c>
      <c r="P103" s="36">
        <f>-160535.31+184865</f>
        <v>24329.690000000002</v>
      </c>
      <c r="Q103" s="36">
        <f>-92607.11+92607</f>
        <v>-0.11000000000058208</v>
      </c>
      <c r="R103" s="36">
        <f>700201.34+156248</f>
        <v>856449.34</v>
      </c>
      <c r="S103" s="36"/>
      <c r="T103" s="36"/>
      <c r="U103" s="36">
        <f>-97871.81+92607</f>
        <v>-5264.809999999998</v>
      </c>
      <c r="V103" s="36">
        <f>-161667.56+184865</f>
        <v>23197.440000000002</v>
      </c>
      <c r="W103" s="36">
        <f>-92730.66+92607</f>
        <v>-123.66000000000349</v>
      </c>
      <c r="X103" s="36">
        <f>192992.19+156248</f>
        <v>349240.19</v>
      </c>
      <c r="Y103" s="36">
        <v>0</v>
      </c>
      <c r="Z103" s="36"/>
    </row>
    <row r="104" spans="1:26" ht="12.75">
      <c r="A104" s="47">
        <f t="shared" si="7"/>
        <v>88</v>
      </c>
      <c r="B104" s="36" t="s">
        <v>356</v>
      </c>
      <c r="C104" s="36">
        <f>SUM(O104:S104)</f>
        <v>-55599.25000000001</v>
      </c>
      <c r="D104" s="36">
        <f>SUM(U104:Y104)</f>
        <v>985205.55</v>
      </c>
      <c r="E104" s="36"/>
      <c r="F104" s="36"/>
      <c r="G104" s="36">
        <f>ROUND(SUM(C104:F104)/2,0)</f>
        <v>464803</v>
      </c>
      <c r="H104" s="36"/>
      <c r="I104" s="36">
        <f t="shared" si="8"/>
        <v>-96433.05</v>
      </c>
      <c r="J104" s="36">
        <f t="shared" si="9"/>
        <v>370691.82499999995</v>
      </c>
      <c r="K104" s="36">
        <f t="shared" si="10"/>
        <v>488.77500000000003</v>
      </c>
      <c r="L104" s="36">
        <f t="shared" si="11"/>
        <v>190055.6</v>
      </c>
      <c r="M104" s="36">
        <f t="shared" si="12"/>
        <v>0</v>
      </c>
      <c r="N104" s="36"/>
      <c r="O104" s="36">
        <v>52.85</v>
      </c>
      <c r="P104" s="36">
        <v>-55808.55</v>
      </c>
      <c r="Q104" s="36">
        <v>12.95</v>
      </c>
      <c r="R104" s="36">
        <v>143.5</v>
      </c>
      <c r="S104" s="36"/>
      <c r="T104" s="36"/>
      <c r="U104" s="36">
        <v>-192918.95</v>
      </c>
      <c r="V104" s="36">
        <v>797192.2</v>
      </c>
      <c r="W104" s="36">
        <v>964.6</v>
      </c>
      <c r="X104" s="36">
        <v>379967.7</v>
      </c>
      <c r="Y104" s="36">
        <v>0</v>
      </c>
      <c r="Z104" s="36"/>
    </row>
    <row r="105" spans="1:26" ht="12.75">
      <c r="A105" s="47">
        <f t="shared" si="7"/>
        <v>89</v>
      </c>
      <c r="B105" s="36" t="s">
        <v>357</v>
      </c>
      <c r="C105" s="36">
        <f t="shared" si="13"/>
        <v>7873889.9</v>
      </c>
      <c r="D105" s="36">
        <f t="shared" si="14"/>
        <v>14171719.2</v>
      </c>
      <c r="E105" s="36"/>
      <c r="F105" s="36"/>
      <c r="G105" s="36">
        <f t="shared" si="6"/>
        <v>11022805</v>
      </c>
      <c r="H105" s="36"/>
      <c r="I105" s="36">
        <f t="shared" si="8"/>
        <v>4725000</v>
      </c>
      <c r="J105" s="36">
        <f t="shared" si="9"/>
        <v>6297804.55</v>
      </c>
      <c r="K105" s="36">
        <f t="shared" si="10"/>
        <v>0</v>
      </c>
      <c r="L105" s="36">
        <f t="shared" si="11"/>
        <v>0</v>
      </c>
      <c r="M105" s="36">
        <f t="shared" si="12"/>
        <v>0</v>
      </c>
      <c r="N105" s="36"/>
      <c r="O105" s="36">
        <v>4725000</v>
      </c>
      <c r="P105" s="36">
        <v>3148889.9</v>
      </c>
      <c r="Q105" s="36">
        <v>0</v>
      </c>
      <c r="R105" s="36">
        <v>0</v>
      </c>
      <c r="S105" s="36"/>
      <c r="T105" s="36"/>
      <c r="U105" s="36">
        <v>4725000</v>
      </c>
      <c r="V105" s="36">
        <v>9446719.2</v>
      </c>
      <c r="W105" s="36">
        <v>0</v>
      </c>
      <c r="X105" s="36">
        <v>0</v>
      </c>
      <c r="Y105" s="36">
        <v>0</v>
      </c>
      <c r="Z105" s="36"/>
    </row>
    <row r="106" spans="1:26" ht="12.75">
      <c r="A106" s="47">
        <f t="shared" si="7"/>
        <v>90</v>
      </c>
      <c r="B106" s="36" t="s">
        <v>358</v>
      </c>
      <c r="C106" s="36">
        <f t="shared" si="13"/>
        <v>0.35</v>
      </c>
      <c r="D106" s="36">
        <f t="shared" si="14"/>
        <v>0.35</v>
      </c>
      <c r="E106" s="36"/>
      <c r="F106" s="36"/>
      <c r="G106" s="36">
        <f t="shared" si="6"/>
        <v>0</v>
      </c>
      <c r="H106" s="36"/>
      <c r="I106" s="36">
        <f t="shared" si="8"/>
        <v>0</v>
      </c>
      <c r="J106" s="36">
        <f t="shared" si="9"/>
        <v>0</v>
      </c>
      <c r="K106" s="36">
        <f t="shared" si="10"/>
        <v>0</v>
      </c>
      <c r="L106" s="36">
        <f t="shared" si="11"/>
        <v>0.35</v>
      </c>
      <c r="M106" s="36">
        <f t="shared" si="12"/>
        <v>0</v>
      </c>
      <c r="N106" s="36"/>
      <c r="O106" s="36">
        <v>0</v>
      </c>
      <c r="P106" s="36">
        <v>0</v>
      </c>
      <c r="Q106" s="36">
        <v>0</v>
      </c>
      <c r="R106" s="36">
        <v>0.35</v>
      </c>
      <c r="S106" s="36"/>
      <c r="T106" s="36"/>
      <c r="U106" s="36">
        <v>0</v>
      </c>
      <c r="V106" s="36">
        <v>0</v>
      </c>
      <c r="W106" s="36">
        <v>0</v>
      </c>
      <c r="X106" s="36">
        <v>0.35</v>
      </c>
      <c r="Y106" s="36">
        <v>0</v>
      </c>
      <c r="Z106" s="36"/>
    </row>
    <row r="107" spans="1:26" ht="12.75">
      <c r="A107" s="47">
        <f t="shared" si="7"/>
        <v>91</v>
      </c>
      <c r="B107" s="36" t="s">
        <v>359</v>
      </c>
      <c r="C107" s="36">
        <f t="shared" si="13"/>
        <v>0.05</v>
      </c>
      <c r="D107" s="36">
        <f t="shared" si="14"/>
        <v>0.05</v>
      </c>
      <c r="E107" s="36"/>
      <c r="F107" s="36"/>
      <c r="G107" s="36">
        <f t="shared" si="6"/>
        <v>0</v>
      </c>
      <c r="H107" s="36"/>
      <c r="I107" s="36">
        <f t="shared" si="8"/>
        <v>0</v>
      </c>
      <c r="J107" s="36">
        <f t="shared" si="9"/>
        <v>0</v>
      </c>
      <c r="K107" s="36">
        <f t="shared" si="10"/>
        <v>0</v>
      </c>
      <c r="L107" s="36">
        <f t="shared" si="11"/>
        <v>0.05</v>
      </c>
      <c r="M107" s="36">
        <f t="shared" si="12"/>
        <v>0</v>
      </c>
      <c r="N107" s="36"/>
      <c r="O107" s="36">
        <v>0</v>
      </c>
      <c r="P107" s="36">
        <v>0</v>
      </c>
      <c r="Q107" s="36">
        <v>0</v>
      </c>
      <c r="R107" s="36">
        <v>0.05</v>
      </c>
      <c r="S107" s="36"/>
      <c r="T107" s="36"/>
      <c r="U107" s="36">
        <v>0</v>
      </c>
      <c r="V107" s="36">
        <v>0</v>
      </c>
      <c r="W107" s="36">
        <v>0</v>
      </c>
      <c r="X107" s="36">
        <v>0.05</v>
      </c>
      <c r="Y107" s="36">
        <v>0</v>
      </c>
      <c r="Z107" s="36"/>
    </row>
    <row r="108" spans="1:26" ht="12.75">
      <c r="A108" s="47">
        <f t="shared" si="7"/>
        <v>92</v>
      </c>
      <c r="B108" s="36" t="s">
        <v>191</v>
      </c>
      <c r="C108" s="36">
        <f t="shared" si="13"/>
        <v>0.05</v>
      </c>
      <c r="D108" s="36">
        <f t="shared" si="14"/>
        <v>0.05</v>
      </c>
      <c r="E108" s="36"/>
      <c r="F108" s="36"/>
      <c r="G108" s="36">
        <f t="shared" si="6"/>
        <v>0</v>
      </c>
      <c r="H108" s="36"/>
      <c r="I108" s="36">
        <f t="shared" si="8"/>
        <v>0</v>
      </c>
      <c r="J108" s="36">
        <f t="shared" si="9"/>
        <v>0</v>
      </c>
      <c r="K108" s="36">
        <f t="shared" si="10"/>
        <v>0</v>
      </c>
      <c r="L108" s="36">
        <f t="shared" si="11"/>
        <v>0.05</v>
      </c>
      <c r="M108" s="36">
        <f t="shared" si="12"/>
        <v>0</v>
      </c>
      <c r="N108" s="36"/>
      <c r="O108" s="36">
        <v>0</v>
      </c>
      <c r="P108" s="36">
        <v>0</v>
      </c>
      <c r="Q108" s="36">
        <v>0</v>
      </c>
      <c r="R108" s="36">
        <v>0.05</v>
      </c>
      <c r="S108" s="36"/>
      <c r="T108" s="36"/>
      <c r="U108" s="36">
        <v>0</v>
      </c>
      <c r="V108" s="36">
        <v>0</v>
      </c>
      <c r="W108" s="36">
        <v>0</v>
      </c>
      <c r="X108" s="36">
        <v>0.05</v>
      </c>
      <c r="Y108" s="36">
        <v>0</v>
      </c>
      <c r="Z108" s="36"/>
    </row>
    <row r="109" spans="1:26" ht="12.75">
      <c r="A109" s="47">
        <f t="shared" si="7"/>
        <v>93</v>
      </c>
      <c r="B109" s="36" t="s">
        <v>360</v>
      </c>
      <c r="C109" s="36">
        <f t="shared" si="13"/>
        <v>0.4</v>
      </c>
      <c r="D109" s="36">
        <f t="shared" si="14"/>
        <v>0.4</v>
      </c>
      <c r="E109" s="36"/>
      <c r="F109" s="36"/>
      <c r="G109" s="36">
        <f t="shared" si="6"/>
        <v>0</v>
      </c>
      <c r="H109" s="36"/>
      <c r="I109" s="36">
        <f t="shared" si="8"/>
        <v>0</v>
      </c>
      <c r="J109" s="36">
        <f t="shared" si="9"/>
        <v>0</v>
      </c>
      <c r="K109" s="36">
        <f t="shared" si="10"/>
        <v>0</v>
      </c>
      <c r="L109" s="36">
        <f t="shared" si="11"/>
        <v>0.4</v>
      </c>
      <c r="M109" s="36">
        <f t="shared" si="12"/>
        <v>0</v>
      </c>
      <c r="N109" s="36"/>
      <c r="O109" s="36">
        <v>0</v>
      </c>
      <c r="P109" s="36">
        <v>0</v>
      </c>
      <c r="Q109" s="36">
        <v>0</v>
      </c>
      <c r="R109" s="36">
        <v>0.4</v>
      </c>
      <c r="S109" s="36"/>
      <c r="T109" s="36"/>
      <c r="U109" s="36">
        <v>0</v>
      </c>
      <c r="V109" s="36">
        <v>0</v>
      </c>
      <c r="W109" s="36">
        <v>0</v>
      </c>
      <c r="X109" s="36">
        <v>0.4</v>
      </c>
      <c r="Y109" s="36">
        <v>0</v>
      </c>
      <c r="Z109" s="36"/>
    </row>
    <row r="110" spans="1:26" ht="12.75">
      <c r="A110" s="47">
        <f t="shared" si="7"/>
        <v>94</v>
      </c>
      <c r="B110" s="36" t="s">
        <v>192</v>
      </c>
      <c r="C110" s="36">
        <f>SUM(O110:S110)</f>
        <v>-407875.23</v>
      </c>
      <c r="D110" s="36">
        <f>SUM(U110:Y110)</f>
        <v>-407875.23</v>
      </c>
      <c r="E110" s="36"/>
      <c r="F110" s="36"/>
      <c r="G110" s="36">
        <f>ROUND(SUM(C110:F110)/2,0)</f>
        <v>-407875</v>
      </c>
      <c r="H110" s="36"/>
      <c r="I110" s="36">
        <f t="shared" si="8"/>
        <v>0</v>
      </c>
      <c r="J110" s="36">
        <f t="shared" si="9"/>
        <v>0</v>
      </c>
      <c r="K110" s="36">
        <f t="shared" si="10"/>
        <v>0</v>
      </c>
      <c r="L110" s="36">
        <f t="shared" si="11"/>
        <v>-407875.23</v>
      </c>
      <c r="M110" s="36">
        <f t="shared" si="12"/>
        <v>0</v>
      </c>
      <c r="N110" s="36"/>
      <c r="O110" s="36">
        <v>0</v>
      </c>
      <c r="P110" s="36">
        <v>0</v>
      </c>
      <c r="Q110" s="36">
        <v>0</v>
      </c>
      <c r="R110" s="36">
        <v>-407875.23</v>
      </c>
      <c r="S110" s="36"/>
      <c r="T110" s="36"/>
      <c r="U110" s="36">
        <v>0</v>
      </c>
      <c r="V110" s="36">
        <v>0</v>
      </c>
      <c r="W110" s="36">
        <v>0</v>
      </c>
      <c r="X110" s="36">
        <v>-407875.23</v>
      </c>
      <c r="Y110" s="36">
        <v>0</v>
      </c>
      <c r="Z110" s="36"/>
    </row>
    <row r="111" spans="1:26" ht="12.75">
      <c r="A111" s="47">
        <f t="shared" si="7"/>
        <v>95</v>
      </c>
      <c r="B111" s="36" t="s">
        <v>361</v>
      </c>
      <c r="C111" s="36">
        <f t="shared" si="13"/>
        <v>0.05</v>
      </c>
      <c r="D111" s="36">
        <f t="shared" si="14"/>
        <v>0.05</v>
      </c>
      <c r="E111" s="36"/>
      <c r="F111" s="36"/>
      <c r="G111" s="36">
        <f t="shared" si="6"/>
        <v>0</v>
      </c>
      <c r="H111" s="36"/>
      <c r="I111" s="36">
        <f t="shared" si="8"/>
        <v>0</v>
      </c>
      <c r="J111" s="36">
        <f t="shared" si="9"/>
        <v>0</v>
      </c>
      <c r="K111" s="36">
        <f t="shared" si="10"/>
        <v>0</v>
      </c>
      <c r="L111" s="36">
        <f t="shared" si="11"/>
        <v>0.05</v>
      </c>
      <c r="M111" s="36">
        <f t="shared" si="12"/>
        <v>0</v>
      </c>
      <c r="N111" s="36"/>
      <c r="O111" s="36">
        <v>0</v>
      </c>
      <c r="P111" s="36">
        <v>0</v>
      </c>
      <c r="Q111" s="36">
        <v>0</v>
      </c>
      <c r="R111" s="36">
        <v>0.05</v>
      </c>
      <c r="S111" s="36"/>
      <c r="T111" s="36"/>
      <c r="U111" s="36">
        <v>0</v>
      </c>
      <c r="V111" s="36">
        <v>0</v>
      </c>
      <c r="W111" s="36">
        <v>0</v>
      </c>
      <c r="X111" s="36">
        <v>0.05</v>
      </c>
      <c r="Y111" s="36">
        <v>0</v>
      </c>
      <c r="Z111" s="36"/>
    </row>
    <row r="112" spans="1:26" ht="12.75">
      <c r="A112" s="47">
        <f t="shared" si="7"/>
        <v>96</v>
      </c>
      <c r="B112" s="36" t="s">
        <v>362</v>
      </c>
      <c r="C112" s="36">
        <f>SUM(O112:S112)</f>
        <v>3422651.75</v>
      </c>
      <c r="D112" s="36">
        <f>SUM(U112:Y112)</f>
        <v>3804036.25</v>
      </c>
      <c r="E112" s="36"/>
      <c r="F112" s="36"/>
      <c r="G112" s="36">
        <f>ROUND(SUM(C112:F112)/2,0)</f>
        <v>3613344</v>
      </c>
      <c r="H112" s="36"/>
      <c r="I112" s="36">
        <f t="shared" si="8"/>
        <v>0</v>
      </c>
      <c r="J112" s="36">
        <f t="shared" si="9"/>
        <v>0</v>
      </c>
      <c r="K112" s="36">
        <f t="shared" si="10"/>
        <v>0</v>
      </c>
      <c r="L112" s="36">
        <f t="shared" si="11"/>
        <v>3613344</v>
      </c>
      <c r="M112" s="36">
        <f t="shared" si="12"/>
        <v>0</v>
      </c>
      <c r="N112" s="36"/>
      <c r="O112" s="36">
        <v>0</v>
      </c>
      <c r="P112" s="36">
        <v>0</v>
      </c>
      <c r="Q112" s="36">
        <v>0</v>
      </c>
      <c r="R112" s="36">
        <v>3422651.75</v>
      </c>
      <c r="S112" s="36"/>
      <c r="T112" s="36"/>
      <c r="U112" s="36">
        <v>0</v>
      </c>
      <c r="V112" s="36">
        <v>0</v>
      </c>
      <c r="W112" s="36">
        <v>0</v>
      </c>
      <c r="X112" s="36">
        <v>3804036.25</v>
      </c>
      <c r="Y112" s="36">
        <v>0</v>
      </c>
      <c r="Z112" s="36"/>
    </row>
    <row r="113" spans="1:26" ht="12.75">
      <c r="A113" s="47">
        <f t="shared" si="7"/>
        <v>97</v>
      </c>
      <c r="B113" s="36" t="s">
        <v>195</v>
      </c>
      <c r="C113" s="36">
        <f>SUM(O113:S113)</f>
        <v>-10877401.9</v>
      </c>
      <c r="D113" s="36">
        <f>SUM(U113:Y113)</f>
        <v>-9551412.200000001</v>
      </c>
      <c r="E113" s="36"/>
      <c r="F113" s="36"/>
      <c r="G113" s="36">
        <f>ROUND(SUM(C113:F113)/2,0)</f>
        <v>-10214407</v>
      </c>
      <c r="H113" s="36"/>
      <c r="I113" s="36">
        <f t="shared" si="8"/>
        <v>-1652675.585</v>
      </c>
      <c r="J113" s="36">
        <f t="shared" si="9"/>
        <v>-8337114.449999999</v>
      </c>
      <c r="K113" s="36">
        <f t="shared" si="10"/>
        <v>-106847.44</v>
      </c>
      <c r="L113" s="36">
        <f t="shared" si="11"/>
        <v>-117769.57500000001</v>
      </c>
      <c r="M113" s="36">
        <f t="shared" si="12"/>
        <v>0</v>
      </c>
      <c r="N113" s="36"/>
      <c r="O113" s="36">
        <v>-1977408.82</v>
      </c>
      <c r="P113" s="36">
        <v>-8680596.76</v>
      </c>
      <c r="Q113" s="36">
        <v>-112185.38</v>
      </c>
      <c r="R113" s="36">
        <v>-107210.94</v>
      </c>
      <c r="S113" s="36"/>
      <c r="T113" s="36"/>
      <c r="U113" s="36">
        <v>-1327942.35</v>
      </c>
      <c r="V113" s="36">
        <v>-7993632.14</v>
      </c>
      <c r="W113" s="36">
        <v>-101509.5</v>
      </c>
      <c r="X113" s="36">
        <v>-128328.21</v>
      </c>
      <c r="Y113" s="36">
        <v>0</v>
      </c>
      <c r="Z113" s="36"/>
    </row>
    <row r="114" spans="1:26" ht="12.75">
      <c r="A114" s="47">
        <f t="shared" si="7"/>
        <v>98</v>
      </c>
      <c r="B114" s="36" t="s">
        <v>403</v>
      </c>
      <c r="C114" s="36">
        <f>SUM(O114:S114)</f>
        <v>539317</v>
      </c>
      <c r="D114" s="36">
        <f>SUM(U114:Y114)</f>
        <v>0</v>
      </c>
      <c r="E114" s="36"/>
      <c r="F114" s="36"/>
      <c r="G114" s="36">
        <f>ROUND(SUM(C114:F114)/2,0)</f>
        <v>269659</v>
      </c>
      <c r="H114" s="36"/>
      <c r="I114" s="36">
        <f t="shared" si="8"/>
        <v>0</v>
      </c>
      <c r="J114" s="36">
        <f t="shared" si="9"/>
        <v>239981.5</v>
      </c>
      <c r="K114" s="36">
        <f t="shared" si="10"/>
        <v>0</v>
      </c>
      <c r="L114" s="36">
        <f t="shared" si="11"/>
        <v>29677</v>
      </c>
      <c r="M114" s="36">
        <f t="shared" si="12"/>
        <v>0</v>
      </c>
      <c r="N114" s="36"/>
      <c r="O114" s="36">
        <v>0</v>
      </c>
      <c r="P114" s="36">
        <v>479963</v>
      </c>
      <c r="Q114" s="36">
        <v>0</v>
      </c>
      <c r="R114" s="36">
        <v>59354</v>
      </c>
      <c r="S114" s="36"/>
      <c r="T114" s="36"/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/>
    </row>
    <row r="115" spans="1:26" ht="12.75">
      <c r="A115" s="47">
        <f t="shared" si="7"/>
        <v>99</v>
      </c>
      <c r="B115" s="36" t="s">
        <v>363</v>
      </c>
      <c r="C115" s="36">
        <f t="shared" si="13"/>
        <v>-0.1</v>
      </c>
      <c r="D115" s="36">
        <f t="shared" si="14"/>
        <v>-0.1</v>
      </c>
      <c r="E115" s="36"/>
      <c r="F115" s="36"/>
      <c r="G115" s="36">
        <f t="shared" si="6"/>
        <v>0</v>
      </c>
      <c r="H115" s="36"/>
      <c r="I115" s="36">
        <f t="shared" si="8"/>
        <v>0</v>
      </c>
      <c r="J115" s="36">
        <f t="shared" si="9"/>
        <v>0</v>
      </c>
      <c r="K115" s="36">
        <f t="shared" si="10"/>
        <v>0</v>
      </c>
      <c r="L115" s="36">
        <f t="shared" si="11"/>
        <v>-0.1</v>
      </c>
      <c r="M115" s="36">
        <f t="shared" si="12"/>
        <v>0</v>
      </c>
      <c r="N115" s="36"/>
      <c r="O115" s="36">
        <v>0</v>
      </c>
      <c r="P115" s="36"/>
      <c r="Q115" s="36">
        <v>0</v>
      </c>
      <c r="R115" s="36">
        <v>-0.1</v>
      </c>
      <c r="S115" s="36"/>
      <c r="T115" s="36"/>
      <c r="U115" s="36">
        <v>0</v>
      </c>
      <c r="V115" s="36">
        <v>0</v>
      </c>
      <c r="W115" s="36">
        <v>0</v>
      </c>
      <c r="X115" s="36">
        <v>-0.1</v>
      </c>
      <c r="Y115" s="36">
        <v>0</v>
      </c>
      <c r="Z115" s="36"/>
    </row>
    <row r="116" spans="1:26" ht="12.75">
      <c r="A116" s="47">
        <f t="shared" si="7"/>
        <v>100</v>
      </c>
      <c r="B116" s="36" t="s">
        <v>364</v>
      </c>
      <c r="C116" s="36">
        <f>SUM(O116:S116)</f>
        <v>0</v>
      </c>
      <c r="D116" s="36">
        <f>SUM(U116:Y116)</f>
        <v>0</v>
      </c>
      <c r="E116" s="36"/>
      <c r="F116" s="36"/>
      <c r="G116" s="36">
        <f>ROUND(SUM(C116:F116)/2,0)</f>
        <v>0</v>
      </c>
      <c r="H116" s="36"/>
      <c r="I116" s="36">
        <f t="shared" si="8"/>
        <v>0</v>
      </c>
      <c r="J116" s="36">
        <f t="shared" si="9"/>
        <v>0</v>
      </c>
      <c r="K116" s="36">
        <f t="shared" si="10"/>
        <v>0</v>
      </c>
      <c r="L116" s="36">
        <f t="shared" si="11"/>
        <v>0</v>
      </c>
      <c r="M116" s="36">
        <f t="shared" si="12"/>
        <v>0</v>
      </c>
      <c r="N116" s="36"/>
      <c r="O116" s="36">
        <v>0</v>
      </c>
      <c r="P116" s="36"/>
      <c r="Q116" s="36">
        <v>0</v>
      </c>
      <c r="R116" s="36">
        <v>0</v>
      </c>
      <c r="S116" s="36"/>
      <c r="T116" s="36"/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/>
    </row>
    <row r="117" spans="1:26" ht="12.75">
      <c r="A117" s="47">
        <f t="shared" si="7"/>
        <v>101</v>
      </c>
      <c r="B117" s="36" t="s">
        <v>365</v>
      </c>
      <c r="C117" s="36">
        <f>SUM(O117:S117)</f>
        <v>-19925.850000000002</v>
      </c>
      <c r="D117" s="36">
        <f>SUM(U117:Y117)</f>
        <v>-610958.95</v>
      </c>
      <c r="E117" s="36"/>
      <c r="F117" s="36"/>
      <c r="G117" s="36">
        <f>ROUND(SUM(C117:F117)/2,0)</f>
        <v>-315442</v>
      </c>
      <c r="H117" s="36"/>
      <c r="I117" s="36">
        <f t="shared" si="8"/>
        <v>-9064.824999999999</v>
      </c>
      <c r="J117" s="36">
        <f t="shared" si="9"/>
        <v>-292882.8</v>
      </c>
      <c r="K117" s="36">
        <f t="shared" si="10"/>
        <v>-362.25</v>
      </c>
      <c r="L117" s="36">
        <f t="shared" si="11"/>
        <v>-13132.525000000001</v>
      </c>
      <c r="M117" s="36">
        <f t="shared" si="12"/>
        <v>0</v>
      </c>
      <c r="N117" s="36"/>
      <c r="O117" s="36">
        <v>-25.55</v>
      </c>
      <c r="P117" s="36">
        <v>-19795.65</v>
      </c>
      <c r="Q117" s="36">
        <v>-8.75</v>
      </c>
      <c r="R117" s="36">
        <v>-95.9</v>
      </c>
      <c r="S117" s="36"/>
      <c r="T117" s="36"/>
      <c r="U117" s="36">
        <v>-18104.1</v>
      </c>
      <c r="V117" s="36">
        <v>-565969.95</v>
      </c>
      <c r="W117" s="36">
        <v>-715.75</v>
      </c>
      <c r="X117" s="36">
        <v>-26169.15</v>
      </c>
      <c r="Y117" s="36">
        <v>0</v>
      </c>
      <c r="Z117" s="36"/>
    </row>
    <row r="118" spans="1:26" ht="12.75">
      <c r="A118" s="47">
        <f t="shared" si="7"/>
        <v>102</v>
      </c>
      <c r="B118" s="36"/>
      <c r="C118" s="36"/>
      <c r="D118" s="36"/>
      <c r="E118" s="36"/>
      <c r="F118" s="36"/>
      <c r="G118" s="36">
        <f t="shared" si="6"/>
        <v>0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>
      <c r="A119" s="47">
        <f t="shared" si="7"/>
        <v>103</v>
      </c>
      <c r="B119" s="36"/>
      <c r="C119" s="36"/>
      <c r="D119" s="36"/>
      <c r="E119" s="36"/>
      <c r="F119" s="36"/>
      <c r="G119" s="36">
        <f t="shared" si="6"/>
        <v>0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>
      <c r="A120" s="47">
        <f t="shared" si="7"/>
        <v>104</v>
      </c>
      <c r="B120" s="36" t="s">
        <v>32</v>
      </c>
      <c r="C120" s="36">
        <v>7189721.06</v>
      </c>
      <c r="D120" s="36">
        <v>7112564.6</v>
      </c>
      <c r="E120" s="36">
        <f>-C120</f>
        <v>-7189721.06</v>
      </c>
      <c r="F120" s="36">
        <f aca="true" t="shared" si="15" ref="E120:F128">-D120</f>
        <v>-7112564.6</v>
      </c>
      <c r="G120" s="36">
        <f t="shared" si="6"/>
        <v>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>
      <c r="A121" s="47">
        <f t="shared" si="7"/>
        <v>105</v>
      </c>
      <c r="B121" s="36" t="s">
        <v>197</v>
      </c>
      <c r="C121" s="36">
        <v>66109127.2</v>
      </c>
      <c r="D121" s="36">
        <v>68197663.99</v>
      </c>
      <c r="E121" s="36">
        <f t="shared" si="15"/>
        <v>-66109127.2</v>
      </c>
      <c r="F121" s="36">
        <f t="shared" si="15"/>
        <v>-68197663.99</v>
      </c>
      <c r="G121" s="36">
        <f t="shared" si="6"/>
        <v>0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>
      <c r="A122" s="47">
        <f t="shared" si="7"/>
        <v>106</v>
      </c>
      <c r="B122" s="36" t="s">
        <v>198</v>
      </c>
      <c r="C122" s="36">
        <v>1504489.86</v>
      </c>
      <c r="D122" s="36">
        <v>1732578.7</v>
      </c>
      <c r="E122" s="36">
        <f t="shared" si="15"/>
        <v>-1504489.86</v>
      </c>
      <c r="F122" s="36">
        <f t="shared" si="15"/>
        <v>-1732578.7</v>
      </c>
      <c r="G122" s="36">
        <f t="shared" si="6"/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>
      <c r="A123" s="47">
        <f t="shared" si="7"/>
        <v>107</v>
      </c>
      <c r="B123" s="36" t="s">
        <v>199</v>
      </c>
      <c r="C123" s="36">
        <v>0</v>
      </c>
      <c r="D123" s="36">
        <v>68050</v>
      </c>
      <c r="E123" s="36">
        <f t="shared" si="15"/>
        <v>0</v>
      </c>
      <c r="F123" s="36">
        <f t="shared" si="15"/>
        <v>-68050</v>
      </c>
      <c r="G123" s="36">
        <f t="shared" si="6"/>
        <v>0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>
      <c r="A124" s="47">
        <f t="shared" si="7"/>
        <v>108</v>
      </c>
      <c r="B124" s="36" t="s">
        <v>200</v>
      </c>
      <c r="C124" s="36">
        <v>-320</v>
      </c>
      <c r="D124" s="36">
        <v>444804.73</v>
      </c>
      <c r="E124" s="36">
        <f t="shared" si="15"/>
        <v>320</v>
      </c>
      <c r="F124" s="36">
        <f t="shared" si="15"/>
        <v>-444804.73</v>
      </c>
      <c r="G124" s="36">
        <f t="shared" si="6"/>
        <v>0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>
      <c r="A125" s="47">
        <f t="shared" si="7"/>
        <v>109</v>
      </c>
      <c r="B125" s="36" t="s">
        <v>622</v>
      </c>
      <c r="C125" s="36">
        <v>1380875.65</v>
      </c>
      <c r="D125" s="36">
        <v>0</v>
      </c>
      <c r="E125" s="36">
        <f>-C125</f>
        <v>-1380875.65</v>
      </c>
      <c r="F125" s="36">
        <f>-D125</f>
        <v>0</v>
      </c>
      <c r="G125" s="36">
        <f>ROUND(SUM(C125:F125)/2,0)</f>
        <v>0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>
      <c r="A126" s="47">
        <f t="shared" si="7"/>
        <v>110</v>
      </c>
      <c r="B126" s="36" t="s">
        <v>623</v>
      </c>
      <c r="C126" s="36">
        <v>-761655.23</v>
      </c>
      <c r="D126" s="36">
        <v>0</v>
      </c>
      <c r="E126" s="36">
        <f>-C126</f>
        <v>761655.23</v>
      </c>
      <c r="F126" s="36">
        <f>-D126</f>
        <v>0</v>
      </c>
      <c r="G126" s="36">
        <f>ROUND(SUM(C126:F126)/2,0)</f>
        <v>0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>
      <c r="A127" s="47">
        <f t="shared" si="7"/>
        <v>111</v>
      </c>
      <c r="B127" s="36" t="s">
        <v>366</v>
      </c>
      <c r="C127" s="36">
        <v>7881179.52</v>
      </c>
      <c r="D127" s="36">
        <v>8859898.2</v>
      </c>
      <c r="E127" s="36">
        <f t="shared" si="15"/>
        <v>-7881179.52</v>
      </c>
      <c r="F127" s="36">
        <f t="shared" si="15"/>
        <v>-8859898.2</v>
      </c>
      <c r="G127" s="36">
        <f>ROUND(SUM(C127:F127)/2,0)</f>
        <v>0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>
      <c r="A128" s="47">
        <f t="shared" si="7"/>
        <v>112</v>
      </c>
      <c r="B128" s="36" t="s">
        <v>367</v>
      </c>
      <c r="C128" s="36">
        <v>89530</v>
      </c>
      <c r="D128" s="36">
        <v>-374202</v>
      </c>
      <c r="E128" s="36">
        <f t="shared" si="15"/>
        <v>-89530</v>
      </c>
      <c r="F128" s="36">
        <f t="shared" si="15"/>
        <v>374202</v>
      </c>
      <c r="G128" s="36">
        <f t="shared" si="6"/>
        <v>0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>
      <c r="A129" s="47">
        <f t="shared" si="7"/>
        <v>113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3.5" thickBot="1">
      <c r="A130" s="47">
        <f t="shared" si="7"/>
        <v>114</v>
      </c>
      <c r="B130" s="36" t="s">
        <v>204</v>
      </c>
      <c r="C130" s="48">
        <f>SUM(C17:C129)</f>
        <v>913673271.1799997</v>
      </c>
      <c r="D130" s="48">
        <f>SUM(D17:D129)</f>
        <v>845488707.2899998</v>
      </c>
      <c r="E130" s="48">
        <f>SUM(E17:E129)</f>
        <v>-83392948.06</v>
      </c>
      <c r="F130" s="48">
        <f>SUM(F17:F129)</f>
        <v>-86041358.22</v>
      </c>
      <c r="G130" s="48">
        <f>SUM(G17:G129)</f>
        <v>794863835</v>
      </c>
      <c r="H130" s="48"/>
      <c r="I130" s="48">
        <f>SUM(I17:I129)</f>
        <v>64590349.60999999</v>
      </c>
      <c r="J130" s="48">
        <f>SUM(J17:J129)</f>
        <v>698246947.355</v>
      </c>
      <c r="K130" s="48">
        <f>SUM(K17:K129)</f>
        <v>11605296.42</v>
      </c>
      <c r="L130" s="48">
        <f>SUM(L17:L129)</f>
        <v>20421242.71000001</v>
      </c>
      <c r="M130" s="48">
        <f>SUM(M17:M129)</f>
        <v>0</v>
      </c>
      <c r="N130" s="48"/>
      <c r="O130" s="48">
        <f>SUM(O17:O129)</f>
        <v>70958371.43</v>
      </c>
      <c r="P130" s="48">
        <f>SUM(P17:P129)</f>
        <v>729755654.9800003</v>
      </c>
      <c r="Q130" s="48">
        <f>SUM(Q17:Q129)</f>
        <v>10542482.909999996</v>
      </c>
      <c r="R130" s="48">
        <f>SUM(R17:R129)</f>
        <v>19023813.8</v>
      </c>
      <c r="S130" s="48">
        <f>SUM(S17:S129)</f>
        <v>0</v>
      </c>
      <c r="T130" s="36"/>
      <c r="U130" s="48">
        <f>SUM(U17:U129)</f>
        <v>58222327.78999999</v>
      </c>
      <c r="V130" s="48">
        <f>SUM(V17:V129)</f>
        <v>666738239.7300001</v>
      </c>
      <c r="W130" s="48">
        <f>SUM(W17:W129)</f>
        <v>12668109.929999996</v>
      </c>
      <c r="X130" s="48">
        <f>SUM(X17:X129)</f>
        <v>21818671.62000001</v>
      </c>
      <c r="Y130" s="48">
        <f>SUM(Y17:Y129)</f>
        <v>0</v>
      </c>
      <c r="Z130" s="36"/>
    </row>
    <row r="131" spans="1:26" ht="13.5" thickTop="1">
      <c r="A131" s="45"/>
      <c r="B131" s="36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36"/>
      <c r="U131" s="49"/>
      <c r="V131" s="49"/>
      <c r="W131" s="49"/>
      <c r="X131" s="49"/>
      <c r="Y131" s="49"/>
      <c r="Z131" s="36"/>
    </row>
    <row r="132" spans="1:26" ht="12.75">
      <c r="A132" s="4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>
      <c r="A133" s="45"/>
      <c r="B133" s="36"/>
      <c r="C133" s="36"/>
      <c r="D133" s="36" t="s">
        <v>67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>
      <c r="A134" s="4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>
      <c r="A135" s="4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>
      <c r="A136" s="4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>
      <c r="A137" s="4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>
      <c r="A138" s="4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>
      <c r="A139" s="4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2:26" ht="12.7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2:26" ht="12.7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2:26" ht="12.7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2:26" ht="12.7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</sheetData>
  <sheetProtection/>
  <printOptions/>
  <pageMargins left="0.75" right="0.25" top="0.5" bottom="0.25" header="0" footer="0"/>
  <pageSetup horizontalDpi="600" verticalDpi="600" orientation="portrait" scale="70" r:id="rId3"/>
  <headerFooter alignWithMargins="0">
    <oddHeader>&amp;RSTATEMENT AG-3
Page &amp;P of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1"/>
  <sheetViews>
    <sheetView showOutlineSymbols="0" zoomScale="87" zoomScaleNormal="87" zoomScalePageLayoutView="0" workbookViewId="0" topLeftCell="A1">
      <pane xSplit="2" ySplit="1" topLeftCell="N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12.7109375" defaultRowHeight="15"/>
  <cols>
    <col min="1" max="1" width="4.7109375" style="2" customWidth="1"/>
    <col min="2" max="2" width="56.140625" style="4" customWidth="1"/>
    <col min="3" max="7" width="15.7109375" style="4" customWidth="1"/>
    <col min="8" max="8" width="2.7109375" style="4" customWidth="1"/>
    <col min="9" max="11" width="15.7109375" style="4" customWidth="1"/>
    <col min="12" max="12" width="2.7109375" style="4" customWidth="1"/>
    <col min="13" max="15" width="15.7109375" style="4" customWidth="1"/>
    <col min="16" max="16" width="2.7109375" style="4" customWidth="1"/>
    <col min="17" max="19" width="15.7109375" style="4" customWidth="1"/>
    <col min="20" max="16384" width="12.7109375" style="4" customWidth="1"/>
  </cols>
  <sheetData>
    <row r="1" spans="2:19" ht="14.25">
      <c r="B1" s="3" t="s">
        <v>368</v>
      </c>
      <c r="G1" s="5"/>
      <c r="H1" s="5"/>
      <c r="I1" s="5"/>
      <c r="J1" s="5"/>
      <c r="K1" s="5"/>
      <c r="L1" s="5"/>
      <c r="S1" s="5"/>
    </row>
    <row r="2" spans="2:19" ht="14.25">
      <c r="B2" s="3" t="s">
        <v>1</v>
      </c>
      <c r="G2" s="5"/>
      <c r="H2" s="5"/>
      <c r="I2" s="5"/>
      <c r="J2" s="5"/>
      <c r="K2" s="5"/>
      <c r="L2" s="5"/>
      <c r="S2" s="14"/>
    </row>
    <row r="3" ht="14.25">
      <c r="B3" s="3" t="s">
        <v>579</v>
      </c>
    </row>
    <row r="4" spans="7:12" ht="14.25">
      <c r="G4" s="6" t="s">
        <v>2</v>
      </c>
      <c r="H4" s="6"/>
      <c r="I4" s="6"/>
      <c r="J4" s="6"/>
      <c r="K4" s="6"/>
      <c r="L4" s="6"/>
    </row>
    <row r="5" ht="14.25">
      <c r="B5" s="7"/>
    </row>
    <row r="8" spans="2:19" ht="14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/>
      <c r="I8" s="8" t="s">
        <v>9</v>
      </c>
      <c r="J8" s="8" t="s">
        <v>10</v>
      </c>
      <c r="K8" s="8" t="s">
        <v>11</v>
      </c>
      <c r="L8" s="8"/>
      <c r="M8" s="8" t="s">
        <v>12</v>
      </c>
      <c r="N8" s="8" t="s">
        <v>13</v>
      </c>
      <c r="O8" s="8" t="s">
        <v>14</v>
      </c>
      <c r="Q8" s="8" t="s">
        <v>15</v>
      </c>
      <c r="R8" s="8" t="s">
        <v>16</v>
      </c>
      <c r="S8" s="8" t="s">
        <v>17</v>
      </c>
    </row>
    <row r="10" spans="3:19" ht="14.25">
      <c r="C10" s="9" t="s">
        <v>18</v>
      </c>
      <c r="D10" s="9"/>
      <c r="E10" s="10" t="s">
        <v>19</v>
      </c>
      <c r="F10" s="9"/>
      <c r="G10" s="11" t="s">
        <v>20</v>
      </c>
      <c r="H10" s="11"/>
      <c r="I10" s="12" t="s">
        <v>21</v>
      </c>
      <c r="J10" s="9"/>
      <c r="K10" s="9"/>
      <c r="L10" s="11"/>
      <c r="M10" s="12" t="s">
        <v>530</v>
      </c>
      <c r="N10" s="9"/>
      <c r="O10" s="9"/>
      <c r="Q10" s="12" t="s">
        <v>580</v>
      </c>
      <c r="R10" s="9"/>
      <c r="S10" s="9"/>
    </row>
    <row r="11" spans="3:19" ht="14.25">
      <c r="C11" s="13"/>
      <c r="D11" s="13"/>
      <c r="G11" s="11" t="s">
        <v>22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4.25"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24</v>
      </c>
      <c r="H12" s="11"/>
      <c r="L12" s="11"/>
    </row>
    <row r="13" spans="2:19" ht="14.25">
      <c r="B13" s="8" t="s">
        <v>25</v>
      </c>
      <c r="C13" s="8" t="s">
        <v>531</v>
      </c>
      <c r="D13" s="8" t="s">
        <v>581</v>
      </c>
      <c r="E13" s="8" t="str">
        <f>C13</f>
        <v>OF 12-31-13</v>
      </c>
      <c r="F13" s="8" t="str">
        <f>D13</f>
        <v>OF 12-31-14</v>
      </c>
      <c r="G13" s="8" t="s">
        <v>26</v>
      </c>
      <c r="H13" s="8"/>
      <c r="I13" s="8" t="s">
        <v>27</v>
      </c>
      <c r="J13" s="8" t="s">
        <v>28</v>
      </c>
      <c r="K13" s="8" t="s">
        <v>29</v>
      </c>
      <c r="L13" s="8"/>
      <c r="M13" s="8" t="s">
        <v>27</v>
      </c>
      <c r="N13" s="8" t="s">
        <v>28</v>
      </c>
      <c r="O13" s="8" t="s">
        <v>29</v>
      </c>
      <c r="Q13" s="8" t="s">
        <v>27</v>
      </c>
      <c r="R13" s="8" t="s">
        <v>28</v>
      </c>
      <c r="S13" s="8" t="s">
        <v>29</v>
      </c>
    </row>
    <row r="15" spans="2:19" ht="14.25">
      <c r="B15" s="14" t="s">
        <v>30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9" ht="14.25">
      <c r="B16" s="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4.25">
      <c r="A17" s="17">
        <v>1</v>
      </c>
      <c r="B17" s="14" t="s">
        <v>31</v>
      </c>
      <c r="C17" s="15">
        <f>SUM(M17:O17)</f>
        <v>86593718.1</v>
      </c>
      <c r="D17" s="15">
        <f>SUM(Q17:S17)</f>
        <v>85033734.1</v>
      </c>
      <c r="E17" s="15"/>
      <c r="F17" s="15"/>
      <c r="G17" s="15">
        <f>ROUND(SUM(C17:F17)/2,0)</f>
        <v>85813726</v>
      </c>
      <c r="H17" s="15"/>
      <c r="I17" s="15">
        <f>(M17+Q17)/2</f>
        <v>85813726.1</v>
      </c>
      <c r="J17" s="15">
        <f>(N17+R17)/2</f>
        <v>0</v>
      </c>
      <c r="K17" s="15">
        <f>(O17+S17)/2</f>
        <v>0</v>
      </c>
      <c r="L17" s="15"/>
      <c r="M17" s="81">
        <f>25059708.1+61534011-1</f>
        <v>86593718.1</v>
      </c>
      <c r="N17" s="81">
        <v>0</v>
      </c>
      <c r="O17" s="81">
        <v>0</v>
      </c>
      <c r="P17" s="15"/>
      <c r="Q17" s="81">
        <v>85033734.1</v>
      </c>
      <c r="R17" s="81">
        <v>0</v>
      </c>
      <c r="S17" s="81">
        <v>0</v>
      </c>
    </row>
    <row r="18" spans="1:19" ht="14.25">
      <c r="A18" s="17">
        <f>A17+1</f>
        <v>2</v>
      </c>
      <c r="B18" s="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4.25">
      <c r="A19" s="17">
        <f aca="true" t="shared" si="0" ref="A19:A82">A18+1</f>
        <v>3</v>
      </c>
      <c r="B19" s="14" t="s">
        <v>369</v>
      </c>
      <c r="C19" s="15">
        <v>0</v>
      </c>
      <c r="D19" s="15">
        <v>0</v>
      </c>
      <c r="E19" s="15">
        <f aca="true" t="shared" si="1" ref="E19:F21">-C19</f>
        <v>0</v>
      </c>
      <c r="F19" s="15">
        <f t="shared" si="1"/>
        <v>0</v>
      </c>
      <c r="G19" s="15">
        <f>ROUND(SUM(C19:F19)/2,0)</f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4.25">
      <c r="A20" s="17">
        <f t="shared" si="0"/>
        <v>4</v>
      </c>
      <c r="B20" s="5" t="s">
        <v>33</v>
      </c>
      <c r="C20" s="15">
        <v>0</v>
      </c>
      <c r="D20" s="15">
        <v>0</v>
      </c>
      <c r="E20" s="15">
        <f t="shared" si="1"/>
        <v>0</v>
      </c>
      <c r="F20" s="15">
        <f t="shared" si="1"/>
        <v>0</v>
      </c>
      <c r="G20" s="15">
        <f>ROUND(SUM(C20:F20)/2,0)</f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4.25">
      <c r="A21" s="17">
        <f t="shared" si="0"/>
        <v>5</v>
      </c>
      <c r="B21" s="5" t="s">
        <v>34</v>
      </c>
      <c r="C21" s="15">
        <v>0</v>
      </c>
      <c r="D21" s="15">
        <v>0</v>
      </c>
      <c r="E21" s="15">
        <f t="shared" si="1"/>
        <v>0</v>
      </c>
      <c r="F21" s="15">
        <f t="shared" si="1"/>
        <v>0</v>
      </c>
      <c r="G21" s="15">
        <f>ROUND(SUM(C21:F21)/2,0)</f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4.25">
      <c r="A22" s="17">
        <f t="shared" si="0"/>
        <v>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5" thickBot="1">
      <c r="A23" s="17">
        <f t="shared" si="0"/>
        <v>7</v>
      </c>
      <c r="B23" s="14" t="s">
        <v>35</v>
      </c>
      <c r="C23" s="18">
        <f>SUM(C17:C22)</f>
        <v>86593718.1</v>
      </c>
      <c r="D23" s="18">
        <f>SUM(D17:D22)</f>
        <v>85033734.1</v>
      </c>
      <c r="E23" s="18">
        <f>SUM(E17:E22)</f>
        <v>0</v>
      </c>
      <c r="F23" s="18">
        <f>SUM(F17:F22)</f>
        <v>0</v>
      </c>
      <c r="G23" s="18">
        <f>SUM(G17:G22)</f>
        <v>85813726</v>
      </c>
      <c r="H23" s="18"/>
      <c r="I23" s="18">
        <f>SUM(I17:I22)</f>
        <v>85813726.1</v>
      </c>
      <c r="J23" s="18">
        <f>SUM(J17:J22)</f>
        <v>0</v>
      </c>
      <c r="K23" s="18">
        <f>SUM(K17:K22)</f>
        <v>0</v>
      </c>
      <c r="L23" s="18"/>
      <c r="M23" s="18">
        <f>SUM(M17:M22)</f>
        <v>86593718.1</v>
      </c>
      <c r="N23" s="18">
        <f>SUM(N17:N22)</f>
        <v>0</v>
      </c>
      <c r="O23" s="18">
        <f>SUM(O17:O22)</f>
        <v>0</v>
      </c>
      <c r="P23" s="15"/>
      <c r="Q23" s="18">
        <f>SUM(Q17:Q22)</f>
        <v>85033734.1</v>
      </c>
      <c r="R23" s="18">
        <f>SUM(R17:R22)</f>
        <v>0</v>
      </c>
      <c r="S23" s="18">
        <f>SUM(S17:S22)</f>
        <v>0</v>
      </c>
    </row>
    <row r="24" spans="1:19" ht="15" thickTop="1">
      <c r="A24" s="17">
        <f t="shared" si="0"/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9"/>
      <c r="R24" s="19"/>
      <c r="S24" s="19"/>
    </row>
    <row r="25" spans="1:19" ht="14.25">
      <c r="A25" s="17">
        <f t="shared" si="0"/>
        <v>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4.25">
      <c r="A26" s="17">
        <f t="shared" si="0"/>
        <v>10</v>
      </c>
      <c r="B26" s="5" t="s">
        <v>36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4.25">
      <c r="A27" s="17">
        <f t="shared" si="0"/>
        <v>11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4.25">
      <c r="A28" s="17">
        <f t="shared" si="0"/>
        <v>12</v>
      </c>
      <c r="B28" s="14" t="s">
        <v>37</v>
      </c>
      <c r="C28" s="15">
        <f aca="true" t="shared" si="2" ref="C28:C49">SUM(M28:O28)</f>
        <v>236167758.75</v>
      </c>
      <c r="D28" s="15">
        <f>SUM(Q28:S28)</f>
        <v>260125685.95</v>
      </c>
      <c r="E28" s="15"/>
      <c r="F28" s="15"/>
      <c r="G28" s="15">
        <f aca="true" t="shared" si="3" ref="G28:G55">ROUND(SUM(C28:F28)/2,0)</f>
        <v>248146722</v>
      </c>
      <c r="H28" s="15"/>
      <c r="I28" s="15">
        <f aca="true" t="shared" si="4" ref="I28:K52">(M28+Q28)/2</f>
        <v>105392745.725</v>
      </c>
      <c r="J28" s="15">
        <f t="shared" si="4"/>
        <v>62144095.475</v>
      </c>
      <c r="K28" s="15">
        <f t="shared" si="4"/>
        <v>80609881.15</v>
      </c>
      <c r="L28" s="15"/>
      <c r="M28" s="82">
        <f>-10.35+2+0.7+16269407.3-4422+56862+85002994</f>
        <v>101324833.65</v>
      </c>
      <c r="N28" s="15">
        <f>26.45+8+0.4-5879+56881955.65+90003+8111</f>
        <v>56974225.5</v>
      </c>
      <c r="O28" s="82">
        <f>94293.3+26982-0.6+77294403.65-18709+471730.25</f>
        <v>77868699.60000001</v>
      </c>
      <c r="P28" s="15"/>
      <c r="Q28" s="82">
        <v>109460657.8</v>
      </c>
      <c r="R28" s="82">
        <v>67313965.45</v>
      </c>
      <c r="S28" s="82">
        <v>83351062.69999999</v>
      </c>
    </row>
    <row r="29" spans="1:19" ht="14.25">
      <c r="A29" s="17">
        <f t="shared" si="0"/>
        <v>13</v>
      </c>
      <c r="B29" s="14" t="s">
        <v>370</v>
      </c>
      <c r="C29" s="15">
        <f t="shared" si="2"/>
        <v>3667</v>
      </c>
      <c r="D29" s="15">
        <f aca="true" t="shared" si="5" ref="D29:D40">SUM(Q29:S29)</f>
        <v>3667</v>
      </c>
      <c r="E29" s="15"/>
      <c r="F29" s="15"/>
      <c r="G29" s="15">
        <f t="shared" si="3"/>
        <v>3667</v>
      </c>
      <c r="H29" s="15"/>
      <c r="I29" s="15">
        <f t="shared" si="4"/>
        <v>900</v>
      </c>
      <c r="J29" s="15">
        <f t="shared" si="4"/>
        <v>1264</v>
      </c>
      <c r="K29" s="15">
        <f t="shared" si="4"/>
        <v>1503</v>
      </c>
      <c r="L29" s="15"/>
      <c r="M29" s="82">
        <f>-281+1181</f>
        <v>900</v>
      </c>
      <c r="N29" s="82">
        <f>-395+1659</f>
        <v>1264</v>
      </c>
      <c r="O29" s="82">
        <f>-470+1973</f>
        <v>1503</v>
      </c>
      <c r="P29" s="15"/>
      <c r="Q29" s="82">
        <v>900</v>
      </c>
      <c r="R29" s="82">
        <v>1264</v>
      </c>
      <c r="S29" s="82">
        <v>1503</v>
      </c>
    </row>
    <row r="30" spans="1:19" ht="14.25">
      <c r="A30" s="17">
        <f t="shared" si="0"/>
        <v>14</v>
      </c>
      <c r="B30" s="5" t="s">
        <v>371</v>
      </c>
      <c r="C30" s="15">
        <f t="shared" si="2"/>
        <v>20380</v>
      </c>
      <c r="D30" s="15">
        <f t="shared" si="5"/>
        <v>20380</v>
      </c>
      <c r="E30" s="15"/>
      <c r="F30" s="15"/>
      <c r="G30" s="15">
        <f t="shared" si="3"/>
        <v>20380</v>
      </c>
      <c r="H30" s="15"/>
      <c r="I30" s="15">
        <f t="shared" si="4"/>
        <v>5003</v>
      </c>
      <c r="J30" s="15">
        <f t="shared" si="4"/>
        <v>7027</v>
      </c>
      <c r="K30" s="15">
        <f t="shared" si="4"/>
        <v>8350</v>
      </c>
      <c r="L30" s="15"/>
      <c r="M30" s="82">
        <v>5003</v>
      </c>
      <c r="N30" s="82">
        <v>7027</v>
      </c>
      <c r="O30" s="82">
        <v>8350</v>
      </c>
      <c r="P30" s="15"/>
      <c r="Q30" s="82">
        <v>5003</v>
      </c>
      <c r="R30" s="82">
        <v>7027</v>
      </c>
      <c r="S30" s="82">
        <v>8350</v>
      </c>
    </row>
    <row r="31" spans="1:19" ht="14.25">
      <c r="A31" s="17">
        <f t="shared" si="0"/>
        <v>15</v>
      </c>
      <c r="B31" s="7" t="s">
        <v>217</v>
      </c>
      <c r="C31" s="15">
        <f t="shared" si="2"/>
        <v>4552.8</v>
      </c>
      <c r="D31" s="15">
        <f t="shared" si="5"/>
        <v>4005.3999999999996</v>
      </c>
      <c r="E31" s="15"/>
      <c r="F31" s="15"/>
      <c r="G31" s="15">
        <f t="shared" si="3"/>
        <v>4279</v>
      </c>
      <c r="H31" s="15"/>
      <c r="I31" s="15">
        <f t="shared" si="4"/>
        <v>1407.525</v>
      </c>
      <c r="J31" s="15">
        <f t="shared" si="4"/>
        <v>3198.825</v>
      </c>
      <c r="K31" s="15">
        <f t="shared" si="4"/>
        <v>-327.25</v>
      </c>
      <c r="L31" s="15"/>
      <c r="M31" s="82">
        <v>1497.65</v>
      </c>
      <c r="N31" s="82">
        <v>3403.4</v>
      </c>
      <c r="O31" s="82">
        <v>-348.25</v>
      </c>
      <c r="P31" s="15"/>
      <c r="Q31" s="82">
        <v>1317.4</v>
      </c>
      <c r="R31" s="82">
        <v>2994.25</v>
      </c>
      <c r="S31" s="82">
        <v>-306.25</v>
      </c>
    </row>
    <row r="32" spans="1:19" ht="14.25">
      <c r="A32" s="17">
        <f t="shared" si="0"/>
        <v>16</v>
      </c>
      <c r="B32" s="7" t="s">
        <v>218</v>
      </c>
      <c r="C32" s="15">
        <f t="shared" si="2"/>
        <v>42931</v>
      </c>
      <c r="D32" s="15">
        <f t="shared" si="5"/>
        <v>36895.6</v>
      </c>
      <c r="E32" s="15"/>
      <c r="F32" s="15"/>
      <c r="G32" s="15">
        <f t="shared" si="3"/>
        <v>39913</v>
      </c>
      <c r="H32" s="15"/>
      <c r="I32" s="15">
        <f t="shared" si="4"/>
        <v>0</v>
      </c>
      <c r="J32" s="15">
        <f t="shared" si="4"/>
        <v>0</v>
      </c>
      <c r="K32" s="15">
        <f t="shared" si="4"/>
        <v>39913.3</v>
      </c>
      <c r="L32" s="15"/>
      <c r="M32" s="82">
        <v>0</v>
      </c>
      <c r="N32" s="82">
        <v>0</v>
      </c>
      <c r="O32" s="82">
        <v>42931</v>
      </c>
      <c r="P32" s="15"/>
      <c r="Q32" s="82">
        <v>0</v>
      </c>
      <c r="R32" s="82">
        <v>0</v>
      </c>
      <c r="S32" s="82">
        <v>36895.6</v>
      </c>
    </row>
    <row r="33" spans="1:19" ht="14.25">
      <c r="A33" s="17">
        <f t="shared" si="0"/>
        <v>17</v>
      </c>
      <c r="B33" s="7" t="s">
        <v>219</v>
      </c>
      <c r="C33" s="15">
        <f t="shared" si="2"/>
        <v>50359.6</v>
      </c>
      <c r="D33" s="15">
        <f t="shared" si="5"/>
        <v>39251.85</v>
      </c>
      <c r="E33" s="15"/>
      <c r="F33" s="15"/>
      <c r="G33" s="15">
        <f t="shared" si="3"/>
        <v>44806</v>
      </c>
      <c r="H33" s="15"/>
      <c r="I33" s="15">
        <f t="shared" si="4"/>
        <v>0</v>
      </c>
      <c r="J33" s="15">
        <f t="shared" si="4"/>
        <v>44805.725</v>
      </c>
      <c r="K33" s="15">
        <f t="shared" si="4"/>
        <v>0</v>
      </c>
      <c r="L33" s="15"/>
      <c r="M33" s="82">
        <v>0</v>
      </c>
      <c r="N33" s="82">
        <v>50359.6</v>
      </c>
      <c r="O33" s="82">
        <v>0</v>
      </c>
      <c r="P33" s="15"/>
      <c r="Q33" s="82">
        <v>0</v>
      </c>
      <c r="R33" s="82">
        <v>39251.85</v>
      </c>
      <c r="S33" s="82">
        <v>0</v>
      </c>
    </row>
    <row r="34" spans="1:19" ht="14.25">
      <c r="A34" s="17">
        <f t="shared" si="0"/>
        <v>18</v>
      </c>
      <c r="B34" s="7" t="s">
        <v>39</v>
      </c>
      <c r="C34" s="15">
        <f>SUM(M34:O34)</f>
        <v>1130873.45</v>
      </c>
      <c r="D34" s="15">
        <f t="shared" si="5"/>
        <v>1142943.55</v>
      </c>
      <c r="E34" s="15"/>
      <c r="F34" s="15"/>
      <c r="G34" s="15">
        <f t="shared" si="3"/>
        <v>1136909</v>
      </c>
      <c r="H34" s="15"/>
      <c r="I34" s="15">
        <f t="shared" si="4"/>
        <v>1130873.45</v>
      </c>
      <c r="J34" s="15">
        <f t="shared" si="4"/>
        <v>6035.05</v>
      </c>
      <c r="K34" s="15">
        <f t="shared" si="4"/>
        <v>0</v>
      </c>
      <c r="L34" s="15"/>
      <c r="M34" s="82">
        <v>1130873.45</v>
      </c>
      <c r="N34" s="82">
        <v>0</v>
      </c>
      <c r="O34" s="82">
        <v>0</v>
      </c>
      <c r="P34" s="15"/>
      <c r="Q34" s="82">
        <v>1130873.45</v>
      </c>
      <c r="R34" s="82">
        <v>12070.1</v>
      </c>
      <c r="S34" s="82">
        <v>0</v>
      </c>
    </row>
    <row r="35" spans="1:19" ht="14.25">
      <c r="A35" s="17">
        <f t="shared" si="0"/>
        <v>19</v>
      </c>
      <c r="B35" s="14" t="s">
        <v>372</v>
      </c>
      <c r="C35" s="15">
        <f t="shared" si="2"/>
        <v>6367627.6</v>
      </c>
      <c r="D35" s="15">
        <f t="shared" si="5"/>
        <v>6136303.7</v>
      </c>
      <c r="E35" s="15"/>
      <c r="F35" s="15"/>
      <c r="G35" s="15">
        <f t="shared" si="3"/>
        <v>6251966</v>
      </c>
      <c r="H35" s="15"/>
      <c r="I35" s="15">
        <f t="shared" si="4"/>
        <v>0</v>
      </c>
      <c r="J35" s="15">
        <f t="shared" si="4"/>
        <v>6251965.65</v>
      </c>
      <c r="K35" s="15">
        <f t="shared" si="4"/>
        <v>0</v>
      </c>
      <c r="L35" s="15"/>
      <c r="M35" s="82">
        <v>0</v>
      </c>
      <c r="N35" s="82">
        <f>5876422.6+491205</f>
        <v>6367627.6</v>
      </c>
      <c r="O35" s="82">
        <v>0</v>
      </c>
      <c r="P35" s="15"/>
      <c r="Q35" s="82">
        <v>0</v>
      </c>
      <c r="R35" s="82">
        <v>6136303.7</v>
      </c>
      <c r="S35" s="82">
        <v>0</v>
      </c>
    </row>
    <row r="36" spans="1:19" ht="14.25">
      <c r="A36" s="17">
        <f>A35+1</f>
        <v>20</v>
      </c>
      <c r="B36" s="14" t="s">
        <v>220</v>
      </c>
      <c r="C36" s="15">
        <f t="shared" si="2"/>
        <v>4212717.6</v>
      </c>
      <c r="D36" s="15">
        <f t="shared" si="5"/>
        <v>19623647.64</v>
      </c>
      <c r="E36" s="15"/>
      <c r="F36" s="15"/>
      <c r="G36" s="15">
        <f t="shared" si="3"/>
        <v>11918183</v>
      </c>
      <c r="H36" s="15"/>
      <c r="I36" s="15">
        <f t="shared" si="4"/>
        <v>11918182.620000001</v>
      </c>
      <c r="J36" s="15">
        <f t="shared" si="4"/>
        <v>0</v>
      </c>
      <c r="K36" s="15">
        <f t="shared" si="4"/>
        <v>0</v>
      </c>
      <c r="L36" s="15"/>
      <c r="M36" s="82">
        <f>1465971.6+2746746</f>
        <v>4212717.6</v>
      </c>
      <c r="N36" s="82">
        <v>0</v>
      </c>
      <c r="O36" s="82">
        <v>0</v>
      </c>
      <c r="P36" s="15"/>
      <c r="Q36" s="82">
        <v>19623647.64</v>
      </c>
      <c r="R36" s="82">
        <v>0</v>
      </c>
      <c r="S36" s="82">
        <v>0</v>
      </c>
    </row>
    <row r="37" spans="1:19" ht="14.25">
      <c r="A37" s="17">
        <f t="shared" si="0"/>
        <v>21</v>
      </c>
      <c r="B37" s="14" t="s">
        <v>42</v>
      </c>
      <c r="C37" s="15">
        <f t="shared" si="2"/>
        <v>23592021.67</v>
      </c>
      <c r="D37" s="15">
        <f t="shared" si="5"/>
        <v>25254608.67</v>
      </c>
      <c r="E37" s="15"/>
      <c r="F37" s="15"/>
      <c r="G37" s="15">
        <f t="shared" si="3"/>
        <v>24423315</v>
      </c>
      <c r="H37" s="15"/>
      <c r="I37" s="15">
        <f t="shared" si="4"/>
        <v>6326237.140000001</v>
      </c>
      <c r="J37" s="15">
        <f t="shared" si="4"/>
        <v>2740416.3</v>
      </c>
      <c r="K37" s="15">
        <f t="shared" si="4"/>
        <v>15356661.73</v>
      </c>
      <c r="L37" s="15"/>
      <c r="M37" s="82">
        <f>8241838.05-2174427.21</f>
        <v>6067410.84</v>
      </c>
      <c r="N37" s="82">
        <f>4075041.8-1609609.5</f>
        <v>2465432.3</v>
      </c>
      <c r="O37" s="82">
        <f>20670333.7-5611155.17</f>
        <v>15059178.53</v>
      </c>
      <c r="P37" s="15"/>
      <c r="Q37" s="82">
        <v>6585063.44</v>
      </c>
      <c r="R37" s="82">
        <v>3015400.3</v>
      </c>
      <c r="S37" s="82">
        <v>15654144.930000002</v>
      </c>
    </row>
    <row r="38" spans="1:19" ht="14.25">
      <c r="A38" s="17">
        <f t="shared" si="0"/>
        <v>22</v>
      </c>
      <c r="B38" s="14" t="s">
        <v>221</v>
      </c>
      <c r="C38" s="15">
        <f>SUM(M38:O38)</f>
        <v>-2357710.07</v>
      </c>
      <c r="D38" s="15">
        <f t="shared" si="5"/>
        <v>-2149115.67</v>
      </c>
      <c r="E38" s="15"/>
      <c r="F38" s="15"/>
      <c r="G38" s="15">
        <f t="shared" si="3"/>
        <v>-2253413</v>
      </c>
      <c r="H38" s="15"/>
      <c r="I38" s="15">
        <f t="shared" si="4"/>
        <v>-2253412.87</v>
      </c>
      <c r="J38" s="15">
        <f t="shared" si="4"/>
        <v>0</v>
      </c>
      <c r="K38" s="15">
        <f t="shared" si="4"/>
        <v>0</v>
      </c>
      <c r="L38" s="15"/>
      <c r="M38" s="82">
        <v>-2357710.07</v>
      </c>
      <c r="N38" s="82">
        <v>0</v>
      </c>
      <c r="O38" s="82">
        <v>0</v>
      </c>
      <c r="P38" s="15"/>
      <c r="Q38" s="82">
        <v>-2149115.67</v>
      </c>
      <c r="R38" s="82">
        <v>0</v>
      </c>
      <c r="S38" s="82">
        <v>0</v>
      </c>
    </row>
    <row r="39" spans="1:19" ht="14.25">
      <c r="A39" s="17">
        <f t="shared" si="0"/>
        <v>23</v>
      </c>
      <c r="B39" s="5" t="s">
        <v>43</v>
      </c>
      <c r="C39" s="15">
        <f t="shared" si="2"/>
        <v>3877827.3000000003</v>
      </c>
      <c r="D39" s="15">
        <f t="shared" si="5"/>
        <v>4371158.07</v>
      </c>
      <c r="E39" s="15"/>
      <c r="F39" s="15"/>
      <c r="G39" s="15">
        <f t="shared" si="3"/>
        <v>4124493</v>
      </c>
      <c r="H39" s="15"/>
      <c r="I39" s="15">
        <f t="shared" si="4"/>
        <v>1783762.44</v>
      </c>
      <c r="J39" s="15">
        <f t="shared" si="4"/>
        <v>1285656.7550000001</v>
      </c>
      <c r="K39" s="15">
        <f t="shared" si="4"/>
        <v>1055073.49</v>
      </c>
      <c r="L39" s="15"/>
      <c r="M39" s="82">
        <f>2809672.66-1193916.09</f>
        <v>1615756.57</v>
      </c>
      <c r="N39" s="82">
        <f>2031154.08-825545.63</f>
        <v>1205608.4500000002</v>
      </c>
      <c r="O39" s="82">
        <f>2384003.28-1327541</f>
        <v>1056462.2799999998</v>
      </c>
      <c r="P39" s="15"/>
      <c r="Q39" s="82">
        <v>1951768.3099999998</v>
      </c>
      <c r="R39" s="82">
        <v>1365705.06</v>
      </c>
      <c r="S39" s="82">
        <v>1053684.7000000002</v>
      </c>
    </row>
    <row r="40" spans="1:19" ht="14.25">
      <c r="A40" s="17">
        <f t="shared" si="0"/>
        <v>24</v>
      </c>
      <c r="B40" s="14" t="s">
        <v>373</v>
      </c>
      <c r="C40" s="15">
        <f t="shared" si="2"/>
        <v>140868.62</v>
      </c>
      <c r="D40" s="15">
        <f t="shared" si="5"/>
        <v>133421.62</v>
      </c>
      <c r="E40" s="15"/>
      <c r="F40" s="15"/>
      <c r="G40" s="15">
        <f t="shared" si="3"/>
        <v>137145</v>
      </c>
      <c r="H40" s="15"/>
      <c r="I40" s="15">
        <f t="shared" si="4"/>
        <v>0</v>
      </c>
      <c r="J40" s="15">
        <f t="shared" si="4"/>
        <v>137145.12</v>
      </c>
      <c r="K40" s="15">
        <f t="shared" si="4"/>
        <v>0</v>
      </c>
      <c r="L40" s="15"/>
      <c r="M40" s="82">
        <v>0</v>
      </c>
      <c r="N40" s="82">
        <f>357446-216577.38</f>
        <v>140868.62</v>
      </c>
      <c r="O40" s="82">
        <v>0</v>
      </c>
      <c r="P40" s="15"/>
      <c r="Q40" s="82">
        <v>0</v>
      </c>
      <c r="R40" s="82">
        <v>133421.62</v>
      </c>
      <c r="S40" s="82">
        <v>0</v>
      </c>
    </row>
    <row r="41" spans="1:19" ht="14.25">
      <c r="A41" s="17">
        <f t="shared" si="0"/>
        <v>25</v>
      </c>
      <c r="B41" s="14" t="s">
        <v>374</v>
      </c>
      <c r="C41" s="15">
        <f t="shared" si="2"/>
        <v>0.43999999947845936</v>
      </c>
      <c r="D41" s="15">
        <f aca="true" t="shared" si="6" ref="D41:D49">SUM(Q41:S41)</f>
        <v>0.43999999947845936</v>
      </c>
      <c r="E41" s="15"/>
      <c r="F41" s="15"/>
      <c r="G41" s="15">
        <f t="shared" si="3"/>
        <v>0</v>
      </c>
      <c r="H41" s="15"/>
      <c r="I41" s="15">
        <f t="shared" si="4"/>
        <v>0</v>
      </c>
      <c r="J41" s="15">
        <f t="shared" si="4"/>
        <v>0.43999999947845936</v>
      </c>
      <c r="K41" s="15">
        <f t="shared" si="4"/>
        <v>0</v>
      </c>
      <c r="L41" s="15"/>
      <c r="M41" s="82">
        <v>0</v>
      </c>
      <c r="N41" s="82">
        <f>10959058-10959057.56</f>
        <v>0.43999999947845936</v>
      </c>
      <c r="O41" s="82">
        <v>0</v>
      </c>
      <c r="P41" s="15"/>
      <c r="Q41" s="82">
        <v>0</v>
      </c>
      <c r="R41" s="82">
        <v>0.43999999947845936</v>
      </c>
      <c r="S41" s="82">
        <v>0</v>
      </c>
    </row>
    <row r="42" spans="1:19" ht="14.25">
      <c r="A42" s="17">
        <f t="shared" si="0"/>
        <v>26</v>
      </c>
      <c r="B42" s="5" t="s">
        <v>232</v>
      </c>
      <c r="C42" s="15">
        <f t="shared" si="2"/>
        <v>9271.789999999979</v>
      </c>
      <c r="D42" s="15">
        <f t="shared" si="6"/>
        <v>3157.789999999979</v>
      </c>
      <c r="E42" s="15"/>
      <c r="F42" s="15"/>
      <c r="G42" s="15">
        <f t="shared" si="3"/>
        <v>6215</v>
      </c>
      <c r="H42" s="15"/>
      <c r="I42" s="15">
        <f t="shared" si="4"/>
        <v>1525.3400000000256</v>
      </c>
      <c r="J42" s="15">
        <f t="shared" si="4"/>
        <v>2142.9499999999534</v>
      </c>
      <c r="K42" s="15">
        <f t="shared" si="4"/>
        <v>2546.5</v>
      </c>
      <c r="L42" s="15"/>
      <c r="M42" s="82">
        <f>473144-470868.16</f>
        <v>2275.8400000000256</v>
      </c>
      <c r="N42" s="82">
        <f>664516-661319.05</f>
        <v>3196.9499999999534</v>
      </c>
      <c r="O42" s="82">
        <f>789590-785791</f>
        <v>3799</v>
      </c>
      <c r="P42" s="15"/>
      <c r="Q42" s="82">
        <v>774.8400000000256</v>
      </c>
      <c r="R42" s="82">
        <v>1088.9499999999534</v>
      </c>
      <c r="S42" s="82">
        <v>1294</v>
      </c>
    </row>
    <row r="43" spans="1:19" ht="14.25">
      <c r="A43" s="17">
        <f t="shared" si="0"/>
        <v>27</v>
      </c>
      <c r="B43" s="5" t="s">
        <v>238</v>
      </c>
      <c r="C43" s="15">
        <f t="shared" si="2"/>
        <v>41.86000000000786</v>
      </c>
      <c r="D43" s="15">
        <f t="shared" si="6"/>
        <v>-179.13999999999214</v>
      </c>
      <c r="E43" s="15"/>
      <c r="F43" s="15"/>
      <c r="G43" s="15">
        <f t="shared" si="3"/>
        <v>-69</v>
      </c>
      <c r="H43" s="15"/>
      <c r="I43" s="15">
        <f t="shared" si="4"/>
        <v>-17.12999999999738</v>
      </c>
      <c r="J43" s="15">
        <f t="shared" si="4"/>
        <v>-23.679999999993015</v>
      </c>
      <c r="K43" s="15">
        <f t="shared" si="4"/>
        <v>-27.830000000001746</v>
      </c>
      <c r="L43" s="15"/>
      <c r="M43" s="82">
        <f>63444-63434.13</f>
        <v>9.87000000000262</v>
      </c>
      <c r="N43" s="82">
        <f>89104-89089.18</f>
        <v>14.820000000006985</v>
      </c>
      <c r="O43" s="82">
        <f>105876-105858.83</f>
        <v>17.169999999998254</v>
      </c>
      <c r="P43" s="15"/>
      <c r="Q43" s="82">
        <v>-44.12999999999738</v>
      </c>
      <c r="R43" s="82">
        <v>-62.179999999993015</v>
      </c>
      <c r="S43" s="82">
        <v>-72.83000000000175</v>
      </c>
    </row>
    <row r="44" spans="1:19" ht="14.25">
      <c r="A44" s="17">
        <f t="shared" si="0"/>
        <v>28</v>
      </c>
      <c r="B44" s="5" t="s">
        <v>47</v>
      </c>
      <c r="C44" s="15">
        <f t="shared" si="2"/>
        <v>-16.89</v>
      </c>
      <c r="D44" s="15">
        <f t="shared" si="6"/>
        <v>-47.25</v>
      </c>
      <c r="E44" s="15"/>
      <c r="F44" s="15"/>
      <c r="G44" s="15">
        <f t="shared" si="3"/>
        <v>-32</v>
      </c>
      <c r="H44" s="15"/>
      <c r="I44" s="15">
        <f t="shared" si="4"/>
        <v>8.37</v>
      </c>
      <c r="J44" s="15">
        <f t="shared" si="4"/>
        <v>-28.39</v>
      </c>
      <c r="K44" s="15">
        <f t="shared" si="4"/>
        <v>-12.05</v>
      </c>
      <c r="L44" s="15"/>
      <c r="M44" s="82">
        <v>16.74</v>
      </c>
      <c r="N44" s="82">
        <v>-9.53</v>
      </c>
      <c r="O44" s="82">
        <v>-24.1</v>
      </c>
      <c r="P44" s="15"/>
      <c r="Q44" s="82">
        <v>0</v>
      </c>
      <c r="R44" s="82">
        <v>-47.25</v>
      </c>
      <c r="S44" s="82">
        <v>0</v>
      </c>
    </row>
    <row r="45" spans="1:19" ht="14.25">
      <c r="A45" s="17">
        <f t="shared" si="0"/>
        <v>29</v>
      </c>
      <c r="B45" s="5" t="s">
        <v>243</v>
      </c>
      <c r="C45" s="15">
        <f t="shared" si="2"/>
        <v>1429.8400000000001</v>
      </c>
      <c r="D45" s="15">
        <f t="shared" si="6"/>
        <v>483.84000000000015</v>
      </c>
      <c r="E45" s="15"/>
      <c r="F45" s="15"/>
      <c r="G45" s="15">
        <f t="shared" si="3"/>
        <v>957</v>
      </c>
      <c r="H45" s="15"/>
      <c r="I45" s="15">
        <f t="shared" si="4"/>
        <v>235.09000000000015</v>
      </c>
      <c r="J45" s="15">
        <f t="shared" si="4"/>
        <v>329.75</v>
      </c>
      <c r="K45" s="15">
        <f t="shared" si="4"/>
        <v>392</v>
      </c>
      <c r="L45" s="15"/>
      <c r="M45" s="82">
        <f>30082-29730.91</f>
        <v>351.09000000000015</v>
      </c>
      <c r="N45" s="82">
        <f>42249-41756.25</f>
        <v>492.75</v>
      </c>
      <c r="O45" s="82">
        <f>50200-49614</f>
        <v>586</v>
      </c>
      <c r="P45" s="15"/>
      <c r="Q45" s="82">
        <v>119.09000000000015</v>
      </c>
      <c r="R45" s="82">
        <v>166.75</v>
      </c>
      <c r="S45" s="82">
        <v>198</v>
      </c>
    </row>
    <row r="46" spans="1:19" ht="14.25">
      <c r="A46" s="17">
        <f t="shared" si="0"/>
        <v>30</v>
      </c>
      <c r="B46" s="5" t="s">
        <v>48</v>
      </c>
      <c r="C46" s="15">
        <f t="shared" si="2"/>
        <v>6325892.030000001</v>
      </c>
      <c r="D46" s="15">
        <f t="shared" si="6"/>
        <v>5813088.030000001</v>
      </c>
      <c r="E46" s="15"/>
      <c r="F46" s="15"/>
      <c r="G46" s="15">
        <f t="shared" si="3"/>
        <v>6069490</v>
      </c>
      <c r="H46" s="15"/>
      <c r="I46" s="15">
        <f t="shared" si="4"/>
        <v>2994622.51</v>
      </c>
      <c r="J46" s="15">
        <f t="shared" si="4"/>
        <v>403983.1499999999</v>
      </c>
      <c r="K46" s="15">
        <f t="shared" si="4"/>
        <v>2670884.370000001</v>
      </c>
      <c r="L46" s="15"/>
      <c r="M46" s="82">
        <f>5456872.1-2379548.09</f>
        <v>3077324.01</v>
      </c>
      <c r="N46" s="82">
        <f>2481591-2049733.35</f>
        <v>431857.6499999999</v>
      </c>
      <c r="O46" s="82">
        <f>12441910.55-9625200.18</f>
        <v>2816710.370000001</v>
      </c>
      <c r="P46" s="15"/>
      <c r="Q46" s="82">
        <v>2911921.01</v>
      </c>
      <c r="R46" s="82">
        <v>376108.6499999999</v>
      </c>
      <c r="S46" s="82">
        <v>2525058.370000001</v>
      </c>
    </row>
    <row r="47" spans="1:19" ht="14.25">
      <c r="A47" s="17">
        <f t="shared" si="0"/>
        <v>31</v>
      </c>
      <c r="B47" s="14" t="s">
        <v>49</v>
      </c>
      <c r="C47" s="15">
        <f t="shared" si="2"/>
        <v>5642157.5</v>
      </c>
      <c r="D47" s="15">
        <f t="shared" si="6"/>
        <v>8590307.6</v>
      </c>
      <c r="E47" s="15"/>
      <c r="F47" s="15"/>
      <c r="G47" s="15">
        <f t="shared" si="3"/>
        <v>7116233</v>
      </c>
      <c r="H47" s="15"/>
      <c r="I47" s="15">
        <f t="shared" si="4"/>
        <v>7116232.55</v>
      </c>
      <c r="J47" s="15">
        <f t="shared" si="4"/>
        <v>0</v>
      </c>
      <c r="K47" s="15">
        <f t="shared" si="4"/>
        <v>0</v>
      </c>
      <c r="L47" s="15"/>
      <c r="M47" s="82">
        <v>5642157.5</v>
      </c>
      <c r="N47" s="82">
        <v>0</v>
      </c>
      <c r="O47" s="82">
        <v>0</v>
      </c>
      <c r="P47" s="15"/>
      <c r="Q47" s="82">
        <v>8590307.6</v>
      </c>
      <c r="R47" s="82">
        <v>0</v>
      </c>
      <c r="S47" s="82">
        <v>0</v>
      </c>
    </row>
    <row r="48" spans="1:19" ht="14.25">
      <c r="A48" s="17">
        <f t="shared" si="0"/>
        <v>32</v>
      </c>
      <c r="B48" s="14" t="s">
        <v>50</v>
      </c>
      <c r="C48" s="15">
        <f t="shared" si="2"/>
        <v>17678351.6</v>
      </c>
      <c r="D48" s="15">
        <f t="shared" si="6"/>
        <v>16561784.75</v>
      </c>
      <c r="E48" s="15"/>
      <c r="F48" s="15"/>
      <c r="G48" s="15">
        <f t="shared" si="3"/>
        <v>17120068</v>
      </c>
      <c r="H48" s="15"/>
      <c r="I48" s="15">
        <f t="shared" si="4"/>
        <v>17120068.175</v>
      </c>
      <c r="J48" s="15">
        <f t="shared" si="4"/>
        <v>0</v>
      </c>
      <c r="K48" s="15">
        <f t="shared" si="4"/>
        <v>0</v>
      </c>
      <c r="L48" s="15"/>
      <c r="M48" s="82">
        <v>17678351.6</v>
      </c>
      <c r="N48" s="82">
        <v>0</v>
      </c>
      <c r="O48" s="82">
        <v>0</v>
      </c>
      <c r="P48" s="15"/>
      <c r="Q48" s="82">
        <v>16561784.75</v>
      </c>
      <c r="R48" s="82">
        <v>0</v>
      </c>
      <c r="S48" s="82">
        <v>0</v>
      </c>
    </row>
    <row r="49" spans="1:19" ht="14.25">
      <c r="A49" s="17">
        <f t="shared" si="0"/>
        <v>33</v>
      </c>
      <c r="B49" s="5" t="s">
        <v>51</v>
      </c>
      <c r="C49" s="15">
        <f t="shared" si="2"/>
        <v>311091.80000000005</v>
      </c>
      <c r="D49" s="15">
        <f t="shared" si="6"/>
        <v>364464.35000000003</v>
      </c>
      <c r="E49" s="15"/>
      <c r="F49" s="15"/>
      <c r="G49" s="15">
        <f t="shared" si="3"/>
        <v>337778</v>
      </c>
      <c r="H49" s="15"/>
      <c r="I49" s="15">
        <f t="shared" si="4"/>
        <v>0</v>
      </c>
      <c r="J49" s="15">
        <f t="shared" si="4"/>
        <v>-8755.349999999999</v>
      </c>
      <c r="K49" s="15">
        <f t="shared" si="4"/>
        <v>346533.42500000005</v>
      </c>
      <c r="L49" s="15"/>
      <c r="M49" s="82">
        <v>0</v>
      </c>
      <c r="N49" s="82">
        <f>-24993.85+15822</f>
        <v>-9171.849999999999</v>
      </c>
      <c r="O49" s="82">
        <f>413386.4-93122.75</f>
        <v>320263.65</v>
      </c>
      <c r="P49" s="15"/>
      <c r="Q49" s="82">
        <v>0</v>
      </c>
      <c r="R49" s="82">
        <v>-8338.849999999999</v>
      </c>
      <c r="S49" s="82">
        <v>372803.2</v>
      </c>
    </row>
    <row r="50" spans="1:19" ht="14.25">
      <c r="A50" s="17">
        <f t="shared" si="0"/>
        <v>34</v>
      </c>
      <c r="B50" s="14" t="s">
        <v>55</v>
      </c>
      <c r="C50" s="15">
        <f>SUM(M50:O50)</f>
        <v>164484.59999999998</v>
      </c>
      <c r="D50" s="15">
        <f>SUM(Q50:S50)</f>
        <v>0</v>
      </c>
      <c r="E50" s="15"/>
      <c r="F50" s="15"/>
      <c r="G50" s="15">
        <f t="shared" si="3"/>
        <v>82242</v>
      </c>
      <c r="H50" s="15"/>
      <c r="I50" s="15">
        <f t="shared" si="4"/>
        <v>57703.45</v>
      </c>
      <c r="J50" s="15">
        <f t="shared" si="4"/>
        <v>1079.575</v>
      </c>
      <c r="K50" s="15">
        <f t="shared" si="4"/>
        <v>23459.275</v>
      </c>
      <c r="L50" s="15"/>
      <c r="M50" s="82">
        <v>115406.9</v>
      </c>
      <c r="N50" s="82">
        <v>2159.15</v>
      </c>
      <c r="O50" s="82">
        <v>46918.55</v>
      </c>
      <c r="P50" s="15"/>
      <c r="Q50" s="82">
        <v>0</v>
      </c>
      <c r="R50" s="82">
        <v>0</v>
      </c>
      <c r="S50" s="82">
        <v>0</v>
      </c>
    </row>
    <row r="51" spans="1:19" ht="14.25">
      <c r="A51" s="17">
        <f t="shared" si="0"/>
        <v>35</v>
      </c>
      <c r="B51" s="14" t="s">
        <v>59</v>
      </c>
      <c r="C51" s="15">
        <f>SUM(M51:O51)</f>
        <v>5373871</v>
      </c>
      <c r="D51" s="15">
        <f>SUM(Q51:S51)</f>
        <v>5373871</v>
      </c>
      <c r="E51" s="15"/>
      <c r="F51" s="15"/>
      <c r="G51" s="15">
        <f t="shared" si="3"/>
        <v>5373871</v>
      </c>
      <c r="H51" s="15"/>
      <c r="I51" s="15">
        <f t="shared" si="4"/>
        <v>5373871</v>
      </c>
      <c r="J51" s="15">
        <f t="shared" si="4"/>
        <v>0</v>
      </c>
      <c r="K51" s="15">
        <f t="shared" si="4"/>
        <v>0</v>
      </c>
      <c r="L51" s="15"/>
      <c r="M51" s="82">
        <v>5373871</v>
      </c>
      <c r="N51" s="82">
        <v>0</v>
      </c>
      <c r="O51" s="82">
        <v>0</v>
      </c>
      <c r="P51" s="15"/>
      <c r="Q51" s="82">
        <v>5373871</v>
      </c>
      <c r="R51" s="82">
        <v>0</v>
      </c>
      <c r="S51" s="82">
        <v>0</v>
      </c>
    </row>
    <row r="52" spans="1:19" ht="14.25">
      <c r="A52" s="17">
        <f t="shared" si="0"/>
        <v>36</v>
      </c>
      <c r="B52" s="14" t="s">
        <v>62</v>
      </c>
      <c r="C52" s="15">
        <f>SUM(M52:O52)</f>
        <v>0</v>
      </c>
      <c r="D52" s="15">
        <f>SUM(Q52:S52)</f>
        <v>0</v>
      </c>
      <c r="E52" s="15"/>
      <c r="F52" s="15"/>
      <c r="G52" s="15">
        <f t="shared" si="3"/>
        <v>0</v>
      </c>
      <c r="H52" s="15"/>
      <c r="I52" s="15">
        <f t="shared" si="4"/>
        <v>0</v>
      </c>
      <c r="J52" s="15">
        <f t="shared" si="4"/>
        <v>0</v>
      </c>
      <c r="K52" s="15">
        <f t="shared" si="4"/>
        <v>0</v>
      </c>
      <c r="L52" s="15"/>
      <c r="M52" s="82">
        <v>0</v>
      </c>
      <c r="N52" s="82">
        <v>0</v>
      </c>
      <c r="O52" s="82">
        <v>0</v>
      </c>
      <c r="P52" s="15"/>
      <c r="Q52" s="82">
        <v>0</v>
      </c>
      <c r="R52" s="82">
        <v>0</v>
      </c>
      <c r="S52" s="82">
        <v>0</v>
      </c>
    </row>
    <row r="53" spans="1:19" ht="14.25">
      <c r="A53" s="17">
        <f t="shared" si="0"/>
        <v>37</v>
      </c>
      <c r="B53" s="5" t="s">
        <v>32</v>
      </c>
      <c r="C53" s="15">
        <f>SUM(P53:R53)</f>
        <v>0</v>
      </c>
      <c r="D53" s="15">
        <f>SUM(Q53:S53)</f>
        <v>0</v>
      </c>
      <c r="E53" s="15">
        <f aca="true" t="shared" si="7" ref="E53:F55">-C53</f>
        <v>0</v>
      </c>
      <c r="F53" s="15">
        <f t="shared" si="7"/>
        <v>0</v>
      </c>
      <c r="G53" s="15">
        <f t="shared" si="3"/>
        <v>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4.25">
      <c r="A54" s="17">
        <f t="shared" si="0"/>
        <v>38</v>
      </c>
      <c r="B54" s="5" t="s">
        <v>63</v>
      </c>
      <c r="C54" s="81">
        <v>56063600.63</v>
      </c>
      <c r="D54" s="81">
        <v>56215247.99</v>
      </c>
      <c r="E54" s="15">
        <f t="shared" si="7"/>
        <v>-56063600.63</v>
      </c>
      <c r="F54" s="15">
        <f t="shared" si="7"/>
        <v>-56215247.99</v>
      </c>
      <c r="G54" s="15">
        <f t="shared" si="3"/>
        <v>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4.25">
      <c r="A55" s="17">
        <f t="shared" si="0"/>
        <v>39</v>
      </c>
      <c r="B55" s="5" t="s">
        <v>64</v>
      </c>
      <c r="C55" s="81">
        <v>-604383</v>
      </c>
      <c r="D55" s="81">
        <v>-545001</v>
      </c>
      <c r="E55" s="15">
        <f t="shared" si="7"/>
        <v>604383</v>
      </c>
      <c r="F55" s="15">
        <f t="shared" si="7"/>
        <v>545001</v>
      </c>
      <c r="G55" s="15">
        <f t="shared" si="3"/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4.25">
      <c r="A56" s="17">
        <f t="shared" si="0"/>
        <v>40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5" thickBot="1">
      <c r="A57" s="17">
        <f t="shared" si="0"/>
        <v>41</v>
      </c>
      <c r="B57" s="5" t="s">
        <v>65</v>
      </c>
      <c r="C57" s="18">
        <f>SUM(C28:C56)</f>
        <v>364219668.52000004</v>
      </c>
      <c r="D57" s="18">
        <f>SUM(D28:D56)</f>
        <v>407120031.7800001</v>
      </c>
      <c r="E57" s="18">
        <f>SUM(E28:E56)</f>
        <v>-55459217.63</v>
      </c>
      <c r="F57" s="18">
        <f>SUM(F28:F56)</f>
        <v>-55670246.99</v>
      </c>
      <c r="G57" s="18">
        <f>SUM(G28:G56)</f>
        <v>330105118</v>
      </c>
      <c r="H57" s="18"/>
      <c r="I57" s="18">
        <f>SUM(I28:I56)</f>
        <v>156969948.38500002</v>
      </c>
      <c r="J57" s="18">
        <f>SUM(J28:J56)</f>
        <v>73020338.34500001</v>
      </c>
      <c r="K57" s="18">
        <f>SUM(K28:K56)</f>
        <v>100114831.11000001</v>
      </c>
      <c r="L57" s="18"/>
      <c r="M57" s="18">
        <f>SUM(M28:M56)</f>
        <v>143891047.24000004</v>
      </c>
      <c r="N57" s="18">
        <f>SUM(N28:N56)</f>
        <v>67644356.85000001</v>
      </c>
      <c r="O57" s="18">
        <f>SUM(O28:O56)</f>
        <v>97225046.80000003</v>
      </c>
      <c r="P57" s="15"/>
      <c r="Q57" s="18">
        <f>SUM(Q28:Q56)</f>
        <v>170048849.53000003</v>
      </c>
      <c r="R57" s="18">
        <f>SUM(R28:R56)</f>
        <v>78396319.84</v>
      </c>
      <c r="S57" s="18">
        <f>SUM(S28:S56)</f>
        <v>103004615.42</v>
      </c>
    </row>
    <row r="58" spans="1:19" ht="15" thickTop="1">
      <c r="A58" s="17">
        <f t="shared" si="0"/>
        <v>42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5"/>
      <c r="Q58" s="19"/>
      <c r="R58" s="19"/>
      <c r="S58" s="19"/>
    </row>
    <row r="59" spans="1:19" ht="14.25">
      <c r="A59" s="17">
        <f t="shared" si="0"/>
        <v>43</v>
      </c>
      <c r="B59" s="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4.25">
      <c r="A60" s="17">
        <f t="shared" si="0"/>
        <v>44</v>
      </c>
      <c r="B60" s="14" t="s">
        <v>66</v>
      </c>
      <c r="C60" s="15" t="s">
        <v>67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4.25">
      <c r="A61" s="17">
        <f t="shared" si="0"/>
        <v>45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4.25">
      <c r="A62" s="17">
        <f t="shared" si="0"/>
        <v>46</v>
      </c>
      <c r="B62" s="14" t="s">
        <v>624</v>
      </c>
      <c r="C62" s="15">
        <f aca="true" t="shared" si="8" ref="C62:C90">SUM(M62:O62)</f>
        <v>1591449.77</v>
      </c>
      <c r="D62" s="15">
        <f aca="true" t="shared" si="9" ref="D62:D90">SUM(Q62:S62)</f>
        <v>1776271.12</v>
      </c>
      <c r="E62" s="15"/>
      <c r="F62" s="15"/>
      <c r="G62" s="15">
        <f aca="true" t="shared" si="10" ref="G62:G94">ROUND(SUM(C62:F62)/2,0)</f>
        <v>1683860</v>
      </c>
      <c r="H62" s="15"/>
      <c r="I62" s="15">
        <f aca="true" t="shared" si="11" ref="I62:K90">(+M62+Q62)/2</f>
        <v>1683860.445</v>
      </c>
      <c r="J62" s="15">
        <f t="shared" si="11"/>
        <v>0</v>
      </c>
      <c r="K62" s="15">
        <f t="shared" si="11"/>
        <v>0</v>
      </c>
      <c r="L62" s="15"/>
      <c r="M62" s="82">
        <v>1591449.77</v>
      </c>
      <c r="N62" s="82">
        <v>0</v>
      </c>
      <c r="O62" s="82">
        <v>0</v>
      </c>
      <c r="P62" s="15"/>
      <c r="Q62" s="82">
        <v>1776271.12</v>
      </c>
      <c r="R62" s="82">
        <v>0</v>
      </c>
      <c r="S62" s="82">
        <v>0</v>
      </c>
    </row>
    <row r="63" spans="1:19" ht="14.25">
      <c r="A63" s="17">
        <f t="shared" si="0"/>
        <v>47</v>
      </c>
      <c r="B63" s="14" t="s">
        <v>375</v>
      </c>
      <c r="C63" s="15">
        <f t="shared" si="8"/>
        <v>299852.65</v>
      </c>
      <c r="D63" s="15">
        <f t="shared" si="9"/>
        <v>50248.75</v>
      </c>
      <c r="E63" s="15"/>
      <c r="F63" s="15"/>
      <c r="G63" s="15">
        <f t="shared" si="10"/>
        <v>175051</v>
      </c>
      <c r="H63" s="15"/>
      <c r="I63" s="15">
        <f t="shared" si="11"/>
        <v>175050.7</v>
      </c>
      <c r="J63" s="15">
        <f t="shared" si="11"/>
        <v>0</v>
      </c>
      <c r="K63" s="15">
        <f t="shared" si="11"/>
        <v>0</v>
      </c>
      <c r="L63" s="15"/>
      <c r="M63" s="82">
        <v>299852.65</v>
      </c>
      <c r="N63" s="82">
        <v>0</v>
      </c>
      <c r="O63" s="82">
        <v>0</v>
      </c>
      <c r="P63" s="15"/>
      <c r="Q63" s="82">
        <v>50248.75</v>
      </c>
      <c r="R63" s="82">
        <v>0</v>
      </c>
      <c r="S63" s="82">
        <v>0</v>
      </c>
    </row>
    <row r="64" spans="1:19" ht="14.25">
      <c r="A64" s="17">
        <f t="shared" si="0"/>
        <v>48</v>
      </c>
      <c r="B64" s="14" t="s">
        <v>376</v>
      </c>
      <c r="C64" s="15">
        <f t="shared" si="8"/>
        <v>1659606.55</v>
      </c>
      <c r="D64" s="15">
        <f t="shared" si="9"/>
        <v>1767315.69</v>
      </c>
      <c r="E64" s="15"/>
      <c r="F64" s="15"/>
      <c r="G64" s="15">
        <f t="shared" si="10"/>
        <v>1713461</v>
      </c>
      <c r="H64" s="15"/>
      <c r="I64" s="15">
        <f t="shared" si="11"/>
        <v>1713461.12</v>
      </c>
      <c r="J64" s="15">
        <f t="shared" si="11"/>
        <v>0</v>
      </c>
      <c r="K64" s="15">
        <f t="shared" si="11"/>
        <v>0</v>
      </c>
      <c r="L64" s="15"/>
      <c r="M64" s="82">
        <v>1659606.55</v>
      </c>
      <c r="N64" s="82">
        <v>0</v>
      </c>
      <c r="O64" s="82">
        <v>0</v>
      </c>
      <c r="P64" s="15"/>
      <c r="Q64" s="82">
        <v>1767315.69</v>
      </c>
      <c r="R64" s="82">
        <v>0</v>
      </c>
      <c r="S64" s="82">
        <v>0</v>
      </c>
    </row>
    <row r="65" spans="1:19" ht="14.25">
      <c r="A65" s="17">
        <f t="shared" si="0"/>
        <v>49</v>
      </c>
      <c r="B65" s="14" t="s">
        <v>534</v>
      </c>
      <c r="C65" s="15">
        <f>SUM(M65:O65)</f>
        <v>660593</v>
      </c>
      <c r="D65" s="15">
        <f>SUM(Q65:S65)</f>
        <v>1146067.5</v>
      </c>
      <c r="E65" s="15"/>
      <c r="F65" s="15"/>
      <c r="G65" s="15">
        <f>ROUND(SUM(C65:F65)/2,0)</f>
        <v>903330</v>
      </c>
      <c r="H65" s="15"/>
      <c r="I65" s="15">
        <f t="shared" si="11"/>
        <v>903330.25</v>
      </c>
      <c r="J65" s="15">
        <f t="shared" si="11"/>
        <v>0</v>
      </c>
      <c r="K65" s="15">
        <f t="shared" si="11"/>
        <v>0</v>
      </c>
      <c r="L65" s="15"/>
      <c r="M65" s="82">
        <v>660593</v>
      </c>
      <c r="N65" s="82">
        <v>0</v>
      </c>
      <c r="O65" s="82">
        <v>0</v>
      </c>
      <c r="P65" s="15"/>
      <c r="Q65" s="82">
        <v>1146067.5</v>
      </c>
      <c r="R65" s="82">
        <v>0</v>
      </c>
      <c r="S65" s="82">
        <v>0</v>
      </c>
    </row>
    <row r="66" spans="1:19" ht="14.25">
      <c r="A66" s="17">
        <f t="shared" si="0"/>
        <v>50</v>
      </c>
      <c r="B66" s="5" t="s">
        <v>76</v>
      </c>
      <c r="C66" s="15">
        <f t="shared" si="8"/>
        <v>2184241.85</v>
      </c>
      <c r="D66" s="15">
        <f t="shared" si="9"/>
        <v>2125021.5</v>
      </c>
      <c r="E66" s="15"/>
      <c r="F66" s="15"/>
      <c r="G66" s="15">
        <f t="shared" si="10"/>
        <v>2154632</v>
      </c>
      <c r="H66" s="15"/>
      <c r="I66" s="15">
        <f t="shared" si="11"/>
        <v>2154631.675</v>
      </c>
      <c r="J66" s="15">
        <f t="shared" si="11"/>
        <v>0</v>
      </c>
      <c r="K66" s="15">
        <f t="shared" si="11"/>
        <v>0</v>
      </c>
      <c r="L66" s="15"/>
      <c r="M66" s="82">
        <v>2184241.85</v>
      </c>
      <c r="N66" s="82">
        <v>0</v>
      </c>
      <c r="O66" s="82">
        <v>0</v>
      </c>
      <c r="P66" s="15"/>
      <c r="Q66" s="82">
        <v>2125021.5</v>
      </c>
      <c r="R66" s="82">
        <v>0</v>
      </c>
      <c r="S66" s="82">
        <v>0</v>
      </c>
    </row>
    <row r="67" spans="1:19" ht="14.25">
      <c r="A67" s="17">
        <f t="shared" si="0"/>
        <v>51</v>
      </c>
      <c r="B67" s="14" t="s">
        <v>260</v>
      </c>
      <c r="C67" s="15">
        <f t="shared" si="8"/>
        <v>-127484.35</v>
      </c>
      <c r="D67" s="15">
        <f>SUM(Q67:S67)</f>
        <v>-136441.2</v>
      </c>
      <c r="E67" s="15"/>
      <c r="F67" s="15"/>
      <c r="G67" s="15">
        <f>ROUND(SUM(C67:F67)/2,0)</f>
        <v>-131963</v>
      </c>
      <c r="H67" s="15"/>
      <c r="I67" s="15">
        <f t="shared" si="11"/>
        <v>-131962.77500000002</v>
      </c>
      <c r="J67" s="15">
        <f t="shared" si="11"/>
        <v>0</v>
      </c>
      <c r="K67" s="15">
        <f t="shared" si="11"/>
        <v>0</v>
      </c>
      <c r="L67" s="15"/>
      <c r="M67" s="82">
        <v>-127484.35</v>
      </c>
      <c r="N67" s="82">
        <v>0</v>
      </c>
      <c r="O67" s="82">
        <v>0</v>
      </c>
      <c r="P67" s="15"/>
      <c r="Q67" s="82">
        <v>-136441.2</v>
      </c>
      <c r="R67" s="82">
        <v>0</v>
      </c>
      <c r="S67" s="82">
        <v>0</v>
      </c>
    </row>
    <row r="68" spans="1:19" ht="14.25">
      <c r="A68" s="17">
        <f t="shared" si="0"/>
        <v>52</v>
      </c>
      <c r="B68" s="14" t="s">
        <v>377</v>
      </c>
      <c r="C68" s="15">
        <f t="shared" si="8"/>
        <v>0</v>
      </c>
      <c r="D68" s="15">
        <f t="shared" si="9"/>
        <v>0</v>
      </c>
      <c r="E68" s="15"/>
      <c r="F68" s="15"/>
      <c r="G68" s="15">
        <f t="shared" si="10"/>
        <v>0</v>
      </c>
      <c r="H68" s="15"/>
      <c r="I68" s="15">
        <f t="shared" si="11"/>
        <v>0</v>
      </c>
      <c r="J68" s="15">
        <f t="shared" si="11"/>
        <v>0</v>
      </c>
      <c r="K68" s="15">
        <f t="shared" si="11"/>
        <v>0</v>
      </c>
      <c r="L68" s="15"/>
      <c r="M68" s="82">
        <v>0</v>
      </c>
      <c r="N68" s="82">
        <v>0</v>
      </c>
      <c r="O68" s="82">
        <v>0</v>
      </c>
      <c r="P68" s="15"/>
      <c r="Q68" s="82">
        <v>0</v>
      </c>
      <c r="R68" s="82">
        <v>0</v>
      </c>
      <c r="S68" s="82">
        <v>0</v>
      </c>
    </row>
    <row r="69" spans="1:19" ht="14.25">
      <c r="A69" s="17">
        <f t="shared" si="0"/>
        <v>53</v>
      </c>
      <c r="B69" s="14" t="s">
        <v>78</v>
      </c>
      <c r="C69" s="15">
        <f>SUM(M69:O69)</f>
        <v>10082381</v>
      </c>
      <c r="D69" s="15">
        <f>SUM(Q69:S69)</f>
        <v>0</v>
      </c>
      <c r="E69" s="15"/>
      <c r="F69" s="15"/>
      <c r="G69" s="15">
        <f>ROUND(SUM(C69:F69)/2,0)</f>
        <v>5041191</v>
      </c>
      <c r="H69" s="15"/>
      <c r="I69" s="15">
        <f t="shared" si="11"/>
        <v>5041190.5</v>
      </c>
      <c r="J69" s="15">
        <f t="shared" si="11"/>
        <v>0</v>
      </c>
      <c r="K69" s="15">
        <f t="shared" si="11"/>
        <v>0</v>
      </c>
      <c r="L69" s="15"/>
      <c r="M69" s="82">
        <v>10082381</v>
      </c>
      <c r="N69" s="82">
        <v>0</v>
      </c>
      <c r="O69" s="82">
        <v>0</v>
      </c>
      <c r="P69" s="15"/>
      <c r="Q69" s="82">
        <v>0</v>
      </c>
      <c r="R69" s="82">
        <v>0</v>
      </c>
      <c r="S69" s="82">
        <v>0</v>
      </c>
    </row>
    <row r="70" spans="1:19" ht="14.25">
      <c r="A70" s="17">
        <f t="shared" si="0"/>
        <v>54</v>
      </c>
      <c r="B70" s="14" t="s">
        <v>79</v>
      </c>
      <c r="C70" s="15">
        <f t="shared" si="8"/>
        <v>-18173905.95</v>
      </c>
      <c r="D70" s="15">
        <f>SUM(Q70:S70)</f>
        <v>-18830977.9</v>
      </c>
      <c r="E70" s="15"/>
      <c r="F70" s="15"/>
      <c r="G70" s="15">
        <f>ROUND(SUM(C70:F70)/2,0)</f>
        <v>-18502442</v>
      </c>
      <c r="H70" s="15"/>
      <c r="I70" s="15">
        <f t="shared" si="11"/>
        <v>-10438154.399999999</v>
      </c>
      <c r="J70" s="15">
        <f t="shared" si="11"/>
        <v>-535282.125</v>
      </c>
      <c r="K70" s="15">
        <f t="shared" si="11"/>
        <v>-7529005.4</v>
      </c>
      <c r="L70" s="15"/>
      <c r="M70" s="82">
        <f>-3415639.85-6790906</f>
        <v>-10206545.85</v>
      </c>
      <c r="N70" s="82">
        <v>-456499.4</v>
      </c>
      <c r="O70" s="82">
        <v>-7510860.7</v>
      </c>
      <c r="P70" s="15"/>
      <c r="Q70" s="82">
        <v>-10669762.95</v>
      </c>
      <c r="R70" s="82">
        <v>-614064.85</v>
      </c>
      <c r="S70" s="82">
        <v>-7547150.1</v>
      </c>
    </row>
    <row r="71" spans="1:19" ht="14.25">
      <c r="A71" s="17">
        <f t="shared" si="0"/>
        <v>55</v>
      </c>
      <c r="B71" s="14" t="s">
        <v>263</v>
      </c>
      <c r="C71" s="15">
        <f t="shared" si="8"/>
        <v>223300.71</v>
      </c>
      <c r="D71" s="15">
        <f>SUM(Q71:S71)</f>
        <v>145926.29</v>
      </c>
      <c r="E71" s="15"/>
      <c r="F71" s="15"/>
      <c r="G71" s="15">
        <f>ROUND(SUM(C71:F71)/2,0)</f>
        <v>184614</v>
      </c>
      <c r="H71" s="15"/>
      <c r="I71" s="15">
        <f t="shared" si="11"/>
        <v>0</v>
      </c>
      <c r="J71" s="15">
        <f t="shared" si="11"/>
        <v>184613.5</v>
      </c>
      <c r="K71" s="15">
        <f t="shared" si="11"/>
        <v>0</v>
      </c>
      <c r="L71" s="15"/>
      <c r="M71" s="82">
        <v>0</v>
      </c>
      <c r="N71" s="82">
        <v>223300.71</v>
      </c>
      <c r="O71" s="82">
        <v>0</v>
      </c>
      <c r="P71" s="15"/>
      <c r="Q71" s="82">
        <v>0</v>
      </c>
      <c r="R71" s="82">
        <v>145926.29</v>
      </c>
      <c r="S71" s="82">
        <v>0</v>
      </c>
    </row>
    <row r="72" spans="1:19" ht="14.25">
      <c r="A72" s="17">
        <f t="shared" si="0"/>
        <v>56</v>
      </c>
      <c r="B72" s="14" t="s">
        <v>266</v>
      </c>
      <c r="C72" s="15">
        <f t="shared" si="8"/>
        <v>319814.62</v>
      </c>
      <c r="D72" s="15">
        <f t="shared" si="9"/>
        <v>125097.71</v>
      </c>
      <c r="E72" s="15"/>
      <c r="F72" s="15"/>
      <c r="G72" s="15">
        <f t="shared" si="10"/>
        <v>222456</v>
      </c>
      <c r="H72" s="15"/>
      <c r="I72" s="15">
        <f t="shared" si="11"/>
        <v>0</v>
      </c>
      <c r="J72" s="15">
        <f t="shared" si="11"/>
        <v>0</v>
      </c>
      <c r="K72" s="15">
        <f t="shared" si="11"/>
        <v>222456.165</v>
      </c>
      <c r="L72" s="15"/>
      <c r="M72" s="82">
        <v>0</v>
      </c>
      <c r="N72" s="82">
        <v>0</v>
      </c>
      <c r="O72" s="82">
        <v>319814.62</v>
      </c>
      <c r="P72" s="15"/>
      <c r="Q72" s="82">
        <v>0</v>
      </c>
      <c r="R72" s="82">
        <v>0</v>
      </c>
      <c r="S72" s="82">
        <v>125097.71</v>
      </c>
    </row>
    <row r="73" spans="1:19" ht="14.25">
      <c r="A73" s="17">
        <f t="shared" si="0"/>
        <v>57</v>
      </c>
      <c r="B73" s="14" t="s">
        <v>268</v>
      </c>
      <c r="C73" s="15">
        <f t="shared" si="8"/>
        <v>6879148.3</v>
      </c>
      <c r="D73" s="15">
        <f t="shared" si="9"/>
        <v>4348701.85</v>
      </c>
      <c r="E73" s="15"/>
      <c r="F73" s="15"/>
      <c r="G73" s="15">
        <f t="shared" si="10"/>
        <v>5613925</v>
      </c>
      <c r="H73" s="15"/>
      <c r="I73" s="15">
        <f t="shared" si="11"/>
        <v>5613925.074999999</v>
      </c>
      <c r="J73" s="15">
        <f t="shared" si="11"/>
        <v>0</v>
      </c>
      <c r="K73" s="15">
        <f t="shared" si="11"/>
        <v>0</v>
      </c>
      <c r="L73" s="15"/>
      <c r="M73" s="82">
        <f>5647978.3+1231170</f>
        <v>6879148.3</v>
      </c>
      <c r="N73" s="82">
        <v>0</v>
      </c>
      <c r="O73" s="82">
        <v>0</v>
      </c>
      <c r="P73" s="15"/>
      <c r="Q73" s="82">
        <v>4348701.85</v>
      </c>
      <c r="R73" s="82">
        <v>0</v>
      </c>
      <c r="S73" s="82">
        <v>0</v>
      </c>
    </row>
    <row r="74" spans="1:19" ht="14.25">
      <c r="A74" s="17">
        <f t="shared" si="0"/>
        <v>58</v>
      </c>
      <c r="B74" s="14" t="s">
        <v>536</v>
      </c>
      <c r="C74" s="15">
        <f>SUM(M74:O74)</f>
        <v>108006</v>
      </c>
      <c r="D74" s="15">
        <f>SUM(Q74:S74)</f>
        <v>108006</v>
      </c>
      <c r="E74" s="15"/>
      <c r="F74" s="15"/>
      <c r="G74" s="15">
        <f>ROUND(SUM(C74:F74)/2,0)</f>
        <v>108006</v>
      </c>
      <c r="H74" s="15"/>
      <c r="I74" s="15">
        <f t="shared" si="11"/>
        <v>108006</v>
      </c>
      <c r="J74" s="15">
        <f t="shared" si="11"/>
        <v>0</v>
      </c>
      <c r="K74" s="15">
        <f t="shared" si="11"/>
        <v>0</v>
      </c>
      <c r="L74" s="15"/>
      <c r="M74" s="82">
        <v>108006</v>
      </c>
      <c r="N74" s="82">
        <v>0</v>
      </c>
      <c r="O74" s="82">
        <v>0</v>
      </c>
      <c r="P74" s="15"/>
      <c r="Q74" s="82">
        <v>108006</v>
      </c>
      <c r="R74" s="82">
        <v>0</v>
      </c>
      <c r="S74" s="82">
        <v>0</v>
      </c>
    </row>
    <row r="75" spans="1:19" ht="14.25">
      <c r="A75" s="17">
        <f t="shared" si="0"/>
        <v>59</v>
      </c>
      <c r="B75" s="5" t="s">
        <v>269</v>
      </c>
      <c r="C75" s="15">
        <f t="shared" si="8"/>
        <v>-239417.55</v>
      </c>
      <c r="D75" s="15">
        <f t="shared" si="9"/>
        <v>-239417.55</v>
      </c>
      <c r="E75" s="15"/>
      <c r="F75" s="15"/>
      <c r="G75" s="15">
        <f t="shared" si="10"/>
        <v>-239418</v>
      </c>
      <c r="H75" s="15"/>
      <c r="I75" s="15">
        <f t="shared" si="11"/>
        <v>-239417.55</v>
      </c>
      <c r="J75" s="15">
        <f t="shared" si="11"/>
        <v>0</v>
      </c>
      <c r="K75" s="15">
        <f t="shared" si="11"/>
        <v>0</v>
      </c>
      <c r="L75" s="15"/>
      <c r="M75" s="82">
        <f>-20416.55-219001</f>
        <v>-239417.55</v>
      </c>
      <c r="N75" s="82">
        <v>0</v>
      </c>
      <c r="O75" s="82">
        <v>0</v>
      </c>
      <c r="P75" s="15"/>
      <c r="Q75" s="82">
        <v>-239417.55</v>
      </c>
      <c r="R75" s="82">
        <v>0</v>
      </c>
      <c r="S75" s="82">
        <v>0</v>
      </c>
    </row>
    <row r="76" spans="1:19" ht="14.25">
      <c r="A76" s="17">
        <f t="shared" si="0"/>
        <v>60</v>
      </c>
      <c r="B76" s="5" t="s">
        <v>83</v>
      </c>
      <c r="C76" s="15">
        <f t="shared" si="8"/>
        <v>-8301.55</v>
      </c>
      <c r="D76" s="15">
        <f t="shared" si="9"/>
        <v>-8301.55</v>
      </c>
      <c r="E76" s="15"/>
      <c r="F76" s="15"/>
      <c r="G76" s="15">
        <f t="shared" si="10"/>
        <v>-8302</v>
      </c>
      <c r="H76" s="15"/>
      <c r="I76" s="15">
        <f t="shared" si="11"/>
        <v>-8301.55</v>
      </c>
      <c r="J76" s="15">
        <f t="shared" si="11"/>
        <v>0</v>
      </c>
      <c r="K76" s="15">
        <f t="shared" si="11"/>
        <v>0</v>
      </c>
      <c r="L76" s="15"/>
      <c r="M76" s="82">
        <f>0.45-8302</f>
        <v>-8301.55</v>
      </c>
      <c r="N76" s="82">
        <v>0</v>
      </c>
      <c r="O76" s="82">
        <v>0</v>
      </c>
      <c r="P76" s="15"/>
      <c r="Q76" s="82">
        <v>-8301.55</v>
      </c>
      <c r="R76" s="82">
        <v>0</v>
      </c>
      <c r="S76" s="82">
        <v>0</v>
      </c>
    </row>
    <row r="77" spans="1:19" ht="14.25">
      <c r="A77" s="17">
        <f t="shared" si="0"/>
        <v>61</v>
      </c>
      <c r="B77" s="5" t="s">
        <v>437</v>
      </c>
      <c r="C77" s="15">
        <f>SUM(M77:O77)</f>
        <v>73301</v>
      </c>
      <c r="D77" s="15">
        <f t="shared" si="9"/>
        <v>87244</v>
      </c>
      <c r="E77" s="15"/>
      <c r="F77" s="15"/>
      <c r="G77" s="15">
        <f t="shared" si="10"/>
        <v>80273</v>
      </c>
      <c r="H77" s="15"/>
      <c r="I77" s="15">
        <f t="shared" si="11"/>
        <v>80272.5</v>
      </c>
      <c r="J77" s="15">
        <f t="shared" si="11"/>
        <v>0</v>
      </c>
      <c r="K77" s="15">
        <f t="shared" si="11"/>
        <v>0</v>
      </c>
      <c r="L77" s="15"/>
      <c r="M77" s="82">
        <v>73301</v>
      </c>
      <c r="N77" s="82">
        <v>0</v>
      </c>
      <c r="O77" s="82">
        <v>0</v>
      </c>
      <c r="P77" s="15"/>
      <c r="Q77" s="82">
        <v>87244</v>
      </c>
      <c r="R77" s="82">
        <v>0</v>
      </c>
      <c r="S77" s="82">
        <v>0</v>
      </c>
    </row>
    <row r="78" spans="1:19" ht="14.25">
      <c r="A78" s="17">
        <f t="shared" si="0"/>
        <v>62</v>
      </c>
      <c r="B78" s="5" t="s">
        <v>583</v>
      </c>
      <c r="C78" s="15">
        <f>SUM(M78:O78)</f>
        <v>0</v>
      </c>
      <c r="D78" s="15">
        <f t="shared" si="9"/>
        <v>2900491.48</v>
      </c>
      <c r="E78" s="15"/>
      <c r="F78" s="15"/>
      <c r="G78" s="15">
        <f t="shared" si="10"/>
        <v>1450246</v>
      </c>
      <c r="H78" s="15"/>
      <c r="I78" s="15">
        <f t="shared" si="11"/>
        <v>1450245.74</v>
      </c>
      <c r="J78" s="15">
        <f t="shared" si="11"/>
        <v>0</v>
      </c>
      <c r="K78" s="15">
        <f t="shared" si="11"/>
        <v>0</v>
      </c>
      <c r="L78" s="15"/>
      <c r="M78" s="82">
        <v>0</v>
      </c>
      <c r="N78" s="82">
        <v>0</v>
      </c>
      <c r="O78" s="82">
        <v>0</v>
      </c>
      <c r="P78" s="15"/>
      <c r="Q78" s="82">
        <v>2900491.48</v>
      </c>
      <c r="R78" s="82">
        <v>0</v>
      </c>
      <c r="S78" s="82">
        <v>0</v>
      </c>
    </row>
    <row r="79" spans="1:19" ht="14.25">
      <c r="A79" s="17">
        <f t="shared" si="0"/>
        <v>63</v>
      </c>
      <c r="B79" s="14" t="s">
        <v>378</v>
      </c>
      <c r="C79" s="15">
        <f t="shared" si="8"/>
        <v>18173905.95</v>
      </c>
      <c r="D79" s="15">
        <f t="shared" si="9"/>
        <v>15435524.82</v>
      </c>
      <c r="E79" s="15"/>
      <c r="F79" s="15"/>
      <c r="G79" s="15">
        <f t="shared" si="10"/>
        <v>16804715</v>
      </c>
      <c r="H79" s="15"/>
      <c r="I79" s="15">
        <f t="shared" si="11"/>
        <v>8740427.86</v>
      </c>
      <c r="J79" s="15">
        <f t="shared" si="11"/>
        <v>535282.125</v>
      </c>
      <c r="K79" s="15">
        <f t="shared" si="11"/>
        <v>7529005.4</v>
      </c>
      <c r="L79" s="15"/>
      <c r="M79" s="82">
        <f>3415639.85+6790906</f>
        <v>10206545.85</v>
      </c>
      <c r="N79" s="82">
        <v>456499.4</v>
      </c>
      <c r="O79" s="82">
        <v>7510860.7</v>
      </c>
      <c r="P79" s="15"/>
      <c r="Q79" s="82">
        <v>7274309.87</v>
      </c>
      <c r="R79" s="82">
        <v>614064.85</v>
      </c>
      <c r="S79" s="82">
        <v>7547150.1</v>
      </c>
    </row>
    <row r="80" spans="1:19" ht="14.25">
      <c r="A80" s="17">
        <f t="shared" si="0"/>
        <v>64</v>
      </c>
      <c r="B80" s="14" t="s">
        <v>379</v>
      </c>
      <c r="C80" s="15">
        <f t="shared" si="8"/>
        <v>-47289.549999999996</v>
      </c>
      <c r="D80" s="15">
        <f t="shared" si="9"/>
        <v>-39359.95</v>
      </c>
      <c r="E80" s="15"/>
      <c r="F80" s="15"/>
      <c r="G80" s="15">
        <f t="shared" si="10"/>
        <v>-43325</v>
      </c>
      <c r="H80" s="15"/>
      <c r="I80" s="15">
        <f t="shared" si="11"/>
        <v>-53.2</v>
      </c>
      <c r="J80" s="15">
        <f t="shared" si="11"/>
        <v>0</v>
      </c>
      <c r="K80" s="15">
        <f t="shared" si="11"/>
        <v>-43271.55</v>
      </c>
      <c r="L80" s="15"/>
      <c r="M80" s="82">
        <v>-53.2</v>
      </c>
      <c r="N80" s="82">
        <v>0</v>
      </c>
      <c r="O80" s="82">
        <v>-47236.35</v>
      </c>
      <c r="P80" s="15"/>
      <c r="Q80" s="82">
        <v>-53.2</v>
      </c>
      <c r="R80" s="82">
        <v>0</v>
      </c>
      <c r="S80" s="82">
        <v>-39306.75</v>
      </c>
    </row>
    <row r="81" spans="1:19" ht="14.25">
      <c r="A81" s="17">
        <f t="shared" si="0"/>
        <v>65</v>
      </c>
      <c r="B81" s="14" t="s">
        <v>380</v>
      </c>
      <c r="C81" s="15">
        <f t="shared" si="8"/>
        <v>-3370825.04</v>
      </c>
      <c r="D81" s="15">
        <f t="shared" si="9"/>
        <v>-2635027.01</v>
      </c>
      <c r="E81" s="15"/>
      <c r="F81" s="15"/>
      <c r="G81" s="15">
        <f t="shared" si="10"/>
        <v>-3002926</v>
      </c>
      <c r="H81" s="15"/>
      <c r="I81" s="15">
        <f t="shared" si="11"/>
        <v>-1477986.04</v>
      </c>
      <c r="J81" s="15">
        <f t="shared" si="11"/>
        <v>-122079.20999999999</v>
      </c>
      <c r="K81" s="15">
        <f t="shared" si="11"/>
        <v>-1402860.775</v>
      </c>
      <c r="L81" s="15"/>
      <c r="M81" s="82">
        <f>-981619.83-1168536+584268</f>
        <v>-1565887.83</v>
      </c>
      <c r="N81" s="82">
        <v>-170438.49</v>
      </c>
      <c r="O81" s="82">
        <v>-1634498.72</v>
      </c>
      <c r="P81" s="15"/>
      <c r="Q81" s="82">
        <v>-1390084.25</v>
      </c>
      <c r="R81" s="82">
        <v>-73719.93</v>
      </c>
      <c r="S81" s="82">
        <v>-1171222.83</v>
      </c>
    </row>
    <row r="82" spans="1:19" ht="14.25">
      <c r="A82" s="17">
        <f t="shared" si="0"/>
        <v>66</v>
      </c>
      <c r="B82" s="14" t="s">
        <v>91</v>
      </c>
      <c r="C82" s="15">
        <f>SUM(M82:O82)</f>
        <v>305500.41</v>
      </c>
      <c r="D82" s="15">
        <f t="shared" si="9"/>
        <v>305500.41</v>
      </c>
      <c r="E82" s="15"/>
      <c r="F82" s="15"/>
      <c r="G82" s="15">
        <f t="shared" si="10"/>
        <v>305500</v>
      </c>
      <c r="H82" s="15"/>
      <c r="I82" s="15">
        <f t="shared" si="11"/>
        <v>305500.41</v>
      </c>
      <c r="J82" s="15">
        <f t="shared" si="11"/>
        <v>0</v>
      </c>
      <c r="K82" s="15">
        <f t="shared" si="11"/>
        <v>0</v>
      </c>
      <c r="L82" s="15"/>
      <c r="M82" s="82">
        <v>305500.41</v>
      </c>
      <c r="N82" s="82">
        <v>0</v>
      </c>
      <c r="O82" s="82">
        <v>0</v>
      </c>
      <c r="P82" s="15"/>
      <c r="Q82" s="82">
        <v>305500.41</v>
      </c>
      <c r="R82" s="82">
        <v>0</v>
      </c>
      <c r="S82" s="82">
        <v>0</v>
      </c>
    </row>
    <row r="83" spans="1:19" ht="14.25">
      <c r="A83" s="17">
        <f aca="true" t="shared" si="12" ref="A83:A119">A82+1</f>
        <v>67</v>
      </c>
      <c r="B83" s="14" t="s">
        <v>625</v>
      </c>
      <c r="C83" s="15">
        <f>SUM(M83:O83)</f>
        <v>0</v>
      </c>
      <c r="D83" s="15">
        <f t="shared" si="9"/>
        <v>218181.89</v>
      </c>
      <c r="E83" s="15"/>
      <c r="F83" s="15"/>
      <c r="G83" s="15">
        <f t="shared" si="10"/>
        <v>109091</v>
      </c>
      <c r="H83" s="15"/>
      <c r="I83" s="15">
        <f t="shared" si="11"/>
        <v>109090.945</v>
      </c>
      <c r="J83" s="15">
        <f t="shared" si="11"/>
        <v>0</v>
      </c>
      <c r="K83" s="15">
        <f t="shared" si="11"/>
        <v>0</v>
      </c>
      <c r="L83" s="15"/>
      <c r="M83" s="82">
        <v>0</v>
      </c>
      <c r="N83" s="82">
        <v>0</v>
      </c>
      <c r="O83" s="82">
        <v>0</v>
      </c>
      <c r="P83" s="15"/>
      <c r="Q83" s="82">
        <v>218181.89</v>
      </c>
      <c r="R83" s="82">
        <v>0</v>
      </c>
      <c r="S83" s="82">
        <v>0</v>
      </c>
    </row>
    <row r="84" spans="1:19" ht="14.25">
      <c r="A84" s="17">
        <f t="shared" si="12"/>
        <v>68</v>
      </c>
      <c r="B84" s="14" t="s">
        <v>102</v>
      </c>
      <c r="C84" s="15">
        <f t="shared" si="8"/>
        <v>443335.55</v>
      </c>
      <c r="D84" s="15">
        <f t="shared" si="9"/>
        <v>806025.5</v>
      </c>
      <c r="E84" s="15"/>
      <c r="F84" s="15"/>
      <c r="G84" s="15">
        <f t="shared" si="10"/>
        <v>624681</v>
      </c>
      <c r="H84" s="15"/>
      <c r="I84" s="15">
        <f t="shared" si="11"/>
        <v>175441.35</v>
      </c>
      <c r="J84" s="15">
        <f t="shared" si="11"/>
        <v>76923.175</v>
      </c>
      <c r="K84" s="15">
        <f t="shared" si="11"/>
        <v>372316</v>
      </c>
      <c r="L84" s="15"/>
      <c r="M84" s="82">
        <v>56395.15</v>
      </c>
      <c r="N84" s="82">
        <v>39433.8</v>
      </c>
      <c r="O84" s="82">
        <v>347506.6</v>
      </c>
      <c r="P84" s="15"/>
      <c r="Q84" s="82">
        <v>294487.55</v>
      </c>
      <c r="R84" s="82">
        <v>114412.55</v>
      </c>
      <c r="S84" s="82">
        <v>397125.4</v>
      </c>
    </row>
    <row r="85" spans="1:19" ht="14.25">
      <c r="A85" s="17">
        <f t="shared" si="12"/>
        <v>69</v>
      </c>
      <c r="B85" s="5" t="s">
        <v>282</v>
      </c>
      <c r="C85" s="15">
        <f t="shared" si="8"/>
        <v>1955090.02</v>
      </c>
      <c r="D85" s="15">
        <f t="shared" si="9"/>
        <v>2588613.12</v>
      </c>
      <c r="E85" s="15"/>
      <c r="F85" s="15"/>
      <c r="G85" s="15">
        <f t="shared" si="10"/>
        <v>2271852</v>
      </c>
      <c r="H85" s="15"/>
      <c r="I85" s="15">
        <f t="shared" si="11"/>
        <v>623325.67</v>
      </c>
      <c r="J85" s="15">
        <f t="shared" si="11"/>
        <v>528632.085</v>
      </c>
      <c r="K85" s="15">
        <f t="shared" si="11"/>
        <v>1119893.815</v>
      </c>
      <c r="L85" s="15"/>
      <c r="M85" s="82">
        <v>522912.07</v>
      </c>
      <c r="N85" s="82">
        <v>494363.06</v>
      </c>
      <c r="O85" s="82">
        <v>937814.89</v>
      </c>
      <c r="P85" s="15"/>
      <c r="Q85" s="82">
        <v>723739.27</v>
      </c>
      <c r="R85" s="82">
        <v>562901.11</v>
      </c>
      <c r="S85" s="82">
        <v>1301972.74</v>
      </c>
    </row>
    <row r="86" spans="1:19" ht="14.25">
      <c r="A86" s="17">
        <f t="shared" si="12"/>
        <v>70</v>
      </c>
      <c r="B86" s="5" t="s">
        <v>103</v>
      </c>
      <c r="C86" s="15">
        <f t="shared" si="8"/>
        <v>222781.53999999998</v>
      </c>
      <c r="D86" s="15">
        <f t="shared" si="9"/>
        <v>211009.08</v>
      </c>
      <c r="E86" s="15"/>
      <c r="F86" s="15"/>
      <c r="G86" s="15">
        <f t="shared" si="10"/>
        <v>216895</v>
      </c>
      <c r="H86" s="15"/>
      <c r="I86" s="15">
        <f t="shared" si="11"/>
        <v>84374.245</v>
      </c>
      <c r="J86" s="15">
        <f t="shared" si="11"/>
        <v>58072.31</v>
      </c>
      <c r="K86" s="15">
        <f t="shared" si="11"/>
        <v>74448.755</v>
      </c>
      <c r="L86" s="15"/>
      <c r="M86" s="82">
        <v>65537.74</v>
      </c>
      <c r="N86" s="82">
        <v>68690.51</v>
      </c>
      <c r="O86" s="82">
        <v>88553.29</v>
      </c>
      <c r="P86" s="15"/>
      <c r="Q86" s="82">
        <v>103210.75</v>
      </c>
      <c r="R86" s="82">
        <v>47454.11</v>
      </c>
      <c r="S86" s="82">
        <v>60344.22</v>
      </c>
    </row>
    <row r="87" spans="1:19" ht="14.25">
      <c r="A87" s="17">
        <f t="shared" si="12"/>
        <v>71</v>
      </c>
      <c r="B87" s="5" t="s">
        <v>564</v>
      </c>
      <c r="C87" s="15">
        <f t="shared" si="8"/>
        <v>1611940</v>
      </c>
      <c r="D87" s="15">
        <f t="shared" si="9"/>
        <v>0</v>
      </c>
      <c r="E87" s="15"/>
      <c r="F87" s="15"/>
      <c r="G87" s="15">
        <f>ROUND(SUM(C87:F87)/2,0)</f>
        <v>805970</v>
      </c>
      <c r="H87" s="15"/>
      <c r="I87" s="15">
        <f t="shared" si="11"/>
        <v>805970</v>
      </c>
      <c r="J87" s="15">
        <f t="shared" si="11"/>
        <v>0</v>
      </c>
      <c r="K87" s="15">
        <f t="shared" si="11"/>
        <v>0</v>
      </c>
      <c r="L87" s="15"/>
      <c r="M87" s="82">
        <v>1611940</v>
      </c>
      <c r="N87" s="82">
        <v>0</v>
      </c>
      <c r="O87" s="82">
        <v>0</v>
      </c>
      <c r="P87" s="15"/>
      <c r="Q87" s="82">
        <v>0</v>
      </c>
      <c r="R87" s="82">
        <v>0</v>
      </c>
      <c r="S87" s="82">
        <v>0</v>
      </c>
    </row>
    <row r="88" spans="1:19" ht="14.25">
      <c r="A88" s="17">
        <f t="shared" si="12"/>
        <v>72</v>
      </c>
      <c r="B88" s="5" t="s">
        <v>559</v>
      </c>
      <c r="C88" s="15">
        <f t="shared" si="8"/>
        <v>833987.12</v>
      </c>
      <c r="D88" s="15">
        <f t="shared" si="9"/>
        <v>758170.06</v>
      </c>
      <c r="E88" s="15"/>
      <c r="F88" s="15"/>
      <c r="G88" s="15">
        <f>ROUND(SUM(C88:F88)/2,0)</f>
        <v>796079</v>
      </c>
      <c r="H88" s="15"/>
      <c r="I88" s="15">
        <f t="shared" si="11"/>
        <v>261683.86</v>
      </c>
      <c r="J88" s="15">
        <f t="shared" si="11"/>
        <v>58184.125</v>
      </c>
      <c r="K88" s="15">
        <f t="shared" si="11"/>
        <v>476210.605</v>
      </c>
      <c r="L88" s="15"/>
      <c r="M88" s="82">
        <v>274145.01</v>
      </c>
      <c r="N88" s="82">
        <v>60954.8</v>
      </c>
      <c r="O88" s="82">
        <v>498887.31</v>
      </c>
      <c r="P88" s="15"/>
      <c r="Q88" s="82">
        <v>249222.71</v>
      </c>
      <c r="R88" s="82">
        <v>55413.45</v>
      </c>
      <c r="S88" s="82">
        <v>453533.9</v>
      </c>
    </row>
    <row r="89" spans="1:19" ht="14.25">
      <c r="A89" s="17">
        <f t="shared" si="12"/>
        <v>73</v>
      </c>
      <c r="B89" s="5" t="s">
        <v>296</v>
      </c>
      <c r="C89" s="15">
        <f t="shared" si="8"/>
        <v>0</v>
      </c>
      <c r="D89" s="15">
        <f t="shared" si="9"/>
        <v>0.06</v>
      </c>
      <c r="E89" s="15"/>
      <c r="F89" s="15"/>
      <c r="G89" s="15">
        <f t="shared" si="10"/>
        <v>0</v>
      </c>
      <c r="H89" s="15"/>
      <c r="I89" s="15">
        <f t="shared" si="11"/>
        <v>0</v>
      </c>
      <c r="J89" s="15">
        <f t="shared" si="11"/>
        <v>0.04</v>
      </c>
      <c r="K89" s="15">
        <f t="shared" si="11"/>
        <v>-0.01</v>
      </c>
      <c r="L89" s="15"/>
      <c r="M89" s="82">
        <v>0</v>
      </c>
      <c r="N89" s="82">
        <v>0</v>
      </c>
      <c r="O89" s="82">
        <v>0</v>
      </c>
      <c r="P89" s="15"/>
      <c r="Q89" s="82">
        <v>0</v>
      </c>
      <c r="R89" s="82">
        <v>0.08</v>
      </c>
      <c r="S89" s="82">
        <v>-0.02</v>
      </c>
    </row>
    <row r="90" spans="1:19" ht="14.25">
      <c r="A90" s="17">
        <f t="shared" si="12"/>
        <v>74</v>
      </c>
      <c r="B90" s="5" t="s">
        <v>105</v>
      </c>
      <c r="C90" s="15">
        <f t="shared" si="8"/>
        <v>1585419.2</v>
      </c>
      <c r="D90" s="15">
        <f t="shared" si="9"/>
        <v>1584449.91</v>
      </c>
      <c r="E90" s="15"/>
      <c r="F90" s="15"/>
      <c r="G90" s="15">
        <f t="shared" si="10"/>
        <v>1584935</v>
      </c>
      <c r="H90" s="15"/>
      <c r="I90" s="15">
        <f t="shared" si="11"/>
        <v>695808.76</v>
      </c>
      <c r="J90" s="15">
        <f t="shared" si="11"/>
        <v>33248.835</v>
      </c>
      <c r="K90" s="15">
        <f t="shared" si="11"/>
        <v>855876.96</v>
      </c>
      <c r="L90" s="15"/>
      <c r="M90" s="82">
        <v>636950.07</v>
      </c>
      <c r="N90" s="82">
        <v>35177.35</v>
      </c>
      <c r="O90" s="82">
        <v>913291.78</v>
      </c>
      <c r="P90" s="15"/>
      <c r="Q90" s="82">
        <v>754667.45</v>
      </c>
      <c r="R90" s="82">
        <v>31320.32</v>
      </c>
      <c r="S90" s="82">
        <v>798462.14</v>
      </c>
    </row>
    <row r="91" spans="1:19" ht="14.25">
      <c r="A91" s="17">
        <f t="shared" si="12"/>
        <v>75</v>
      </c>
      <c r="B91" s="14" t="s">
        <v>381</v>
      </c>
      <c r="C91" s="81">
        <f>83663.3+45728</f>
        <v>129391.3</v>
      </c>
      <c r="D91" s="81">
        <v>137505</v>
      </c>
      <c r="E91" s="15">
        <f aca="true" t="shared" si="13" ref="E91:F95">-C91</f>
        <v>-129391.3</v>
      </c>
      <c r="F91" s="15">
        <f t="shared" si="13"/>
        <v>-137505</v>
      </c>
      <c r="G91" s="15">
        <f t="shared" si="10"/>
        <v>0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4.25">
      <c r="A92" s="17">
        <f t="shared" si="12"/>
        <v>76</v>
      </c>
      <c r="B92" s="5" t="s">
        <v>107</v>
      </c>
      <c r="C92" s="81">
        <v>54460186.51</v>
      </c>
      <c r="D92" s="81">
        <v>56001331.74</v>
      </c>
      <c r="E92" s="15">
        <f t="shared" si="13"/>
        <v>-54460186.51</v>
      </c>
      <c r="F92" s="15">
        <f t="shared" si="13"/>
        <v>-56001331.74</v>
      </c>
      <c r="G92" s="15">
        <f t="shared" si="10"/>
        <v>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4.25">
      <c r="A93" s="17">
        <f t="shared" si="12"/>
        <v>77</v>
      </c>
      <c r="B93" s="5" t="s">
        <v>108</v>
      </c>
      <c r="C93" s="81">
        <v>0</v>
      </c>
      <c r="D93" s="81">
        <v>0</v>
      </c>
      <c r="E93" s="15">
        <f t="shared" si="13"/>
        <v>0</v>
      </c>
      <c r="F93" s="15">
        <f t="shared" si="13"/>
        <v>0</v>
      </c>
      <c r="G93" s="15">
        <f t="shared" si="10"/>
        <v>0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4.25">
      <c r="A94" s="17">
        <f t="shared" si="12"/>
        <v>78</v>
      </c>
      <c r="B94" s="5" t="s">
        <v>111</v>
      </c>
      <c r="C94" s="81">
        <v>32800.6</v>
      </c>
      <c r="D94" s="81">
        <v>0</v>
      </c>
      <c r="E94" s="15">
        <f t="shared" si="13"/>
        <v>-32800.6</v>
      </c>
      <c r="F94" s="15">
        <f t="shared" si="13"/>
        <v>0</v>
      </c>
      <c r="G94" s="15">
        <f t="shared" si="10"/>
        <v>0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4.25">
      <c r="A95" s="17">
        <f t="shared" si="12"/>
        <v>79</v>
      </c>
      <c r="B95" s="14" t="s">
        <v>382</v>
      </c>
      <c r="C95" s="81">
        <v>0</v>
      </c>
      <c r="D95" s="81">
        <v>0</v>
      </c>
      <c r="E95" s="15">
        <f t="shared" si="13"/>
        <v>0</v>
      </c>
      <c r="F95" s="15">
        <f t="shared" si="13"/>
        <v>0</v>
      </c>
      <c r="G95" s="15">
        <f>ROUND(SUM(C95:F95)/2,0)</f>
        <v>0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4.25">
      <c r="A96" s="17">
        <f t="shared" si="12"/>
        <v>80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5" thickBot="1">
      <c r="A97" s="17">
        <f t="shared" si="12"/>
        <v>81</v>
      </c>
      <c r="B97" s="5"/>
      <c r="C97" s="18">
        <f>SUM(C62:C96)</f>
        <v>81868809.66</v>
      </c>
      <c r="D97" s="18">
        <f>SUM(D62:D96)</f>
        <v>70737178.32000001</v>
      </c>
      <c r="E97" s="18">
        <f>SUM(E62:E96)</f>
        <v>-54622378.41</v>
      </c>
      <c r="F97" s="18">
        <f>SUM(F62:F96)</f>
        <v>-56138836.74</v>
      </c>
      <c r="G97" s="18">
        <f>SUM(G62:G96)</f>
        <v>20922387</v>
      </c>
      <c r="H97" s="18"/>
      <c r="I97" s="18">
        <f>SUM(I62:I96)</f>
        <v>18429721.59</v>
      </c>
      <c r="J97" s="18">
        <f>SUM(J62:J96)</f>
        <v>817594.8600000001</v>
      </c>
      <c r="K97" s="18">
        <f>SUM(K62:K96)</f>
        <v>1675069.9649999999</v>
      </c>
      <c r="L97" s="18"/>
      <c r="M97" s="18">
        <f>SUM(M62:M96)</f>
        <v>25070816.09</v>
      </c>
      <c r="N97" s="18">
        <f>SUM(N62:N96)</f>
        <v>751481.74</v>
      </c>
      <c r="O97" s="18">
        <f>SUM(O62:O96)</f>
        <v>1424133.4200000004</v>
      </c>
      <c r="P97" s="15"/>
      <c r="Q97" s="18">
        <f>SUM(Q62:Q96)</f>
        <v>11788627.090000004</v>
      </c>
      <c r="R97" s="18">
        <f>SUM(R62:R96)</f>
        <v>883707.9799999999</v>
      </c>
      <c r="S97" s="18">
        <f>SUM(S62:S96)</f>
        <v>1926006.5099999998</v>
      </c>
    </row>
    <row r="98" spans="1:19" ht="15" thickTop="1">
      <c r="A98" s="17">
        <f t="shared" si="12"/>
        <v>82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5"/>
      <c r="Q98" s="19"/>
      <c r="R98" s="19"/>
      <c r="S98" s="19"/>
    </row>
    <row r="99" spans="1:19" ht="14.25">
      <c r="A99" s="17">
        <f t="shared" si="12"/>
        <v>83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14.25">
      <c r="A100" s="17">
        <f t="shared" si="12"/>
        <v>84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P100" s="15"/>
      <c r="Q100" s="15"/>
      <c r="R100" s="15"/>
      <c r="S100" s="15"/>
    </row>
    <row r="101" spans="1:19" ht="14.25">
      <c r="A101" s="17">
        <f t="shared" si="12"/>
        <v>85</v>
      </c>
      <c r="B101" s="14" t="s">
        <v>112</v>
      </c>
      <c r="C101" s="15">
        <f>SUM(M101:O101)</f>
        <v>11104354</v>
      </c>
      <c r="D101" s="15">
        <f>SUM(Q101:S101)</f>
        <v>10492834</v>
      </c>
      <c r="E101" s="15"/>
      <c r="F101" s="15"/>
      <c r="G101" s="15">
        <f>ROUND(SUM(C101:F101)/2,0)</f>
        <v>10798594</v>
      </c>
      <c r="H101" s="15"/>
      <c r="I101" s="15">
        <f>(M101+Q101)/2</f>
        <v>10798594</v>
      </c>
      <c r="J101" s="15">
        <f>(N101+R101)/2</f>
        <v>0</v>
      </c>
      <c r="K101" s="15">
        <f>(O101+S101)/2</f>
        <v>0</v>
      </c>
      <c r="L101" s="15"/>
      <c r="M101" s="82">
        <v>11104354</v>
      </c>
      <c r="N101" s="82">
        <v>0</v>
      </c>
      <c r="O101" s="82">
        <v>0</v>
      </c>
      <c r="P101" s="15"/>
      <c r="Q101" s="82">
        <v>10492834</v>
      </c>
      <c r="R101" s="82">
        <v>0</v>
      </c>
      <c r="S101" s="82">
        <v>0</v>
      </c>
    </row>
    <row r="102" spans="1:19" ht="14.25">
      <c r="A102" s="17">
        <f t="shared" si="12"/>
        <v>86</v>
      </c>
      <c r="B102" s="14" t="s">
        <v>383</v>
      </c>
      <c r="C102" s="81">
        <f>44009252.07+25330135</f>
        <v>69339387.07</v>
      </c>
      <c r="D102" s="81">
        <v>73509355.07</v>
      </c>
      <c r="E102" s="15">
        <f>-C102</f>
        <v>-69339387.07</v>
      </c>
      <c r="F102" s="15">
        <f>-D102</f>
        <v>-73509355.07</v>
      </c>
      <c r="G102" s="15">
        <f>ROUND(SUM(C102:F102)/2,0)</f>
        <v>0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14.25">
      <c r="A103" s="17">
        <f t="shared" si="12"/>
        <v>87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50"/>
      <c r="N103" s="50"/>
      <c r="O103" s="15"/>
      <c r="P103" s="15"/>
      <c r="Q103" s="50"/>
      <c r="R103" s="50"/>
      <c r="S103" s="15"/>
    </row>
    <row r="104" spans="1:19" ht="15" thickBot="1">
      <c r="A104" s="17">
        <f t="shared" si="12"/>
        <v>88</v>
      </c>
      <c r="B104" s="5" t="s">
        <v>114</v>
      </c>
      <c r="C104" s="18">
        <f>SUM(C97:C103)</f>
        <v>162312550.73</v>
      </c>
      <c r="D104" s="18">
        <f>SUM(D97:D103)</f>
        <v>154739367.39</v>
      </c>
      <c r="E104" s="18">
        <f>SUM(E97:E103)</f>
        <v>-123961765.47999999</v>
      </c>
      <c r="F104" s="18">
        <f>SUM(F97:F103)</f>
        <v>-129648191.81</v>
      </c>
      <c r="G104" s="18">
        <f>SUM(G97:G103)</f>
        <v>31720981</v>
      </c>
      <c r="H104" s="18"/>
      <c r="I104" s="18">
        <f>SUM(I97:I103)</f>
        <v>29228315.59</v>
      </c>
      <c r="J104" s="18">
        <f>SUM(J97:J103)</f>
        <v>817594.8600000001</v>
      </c>
      <c r="K104" s="18">
        <f>SUM(K97:K103)</f>
        <v>1675069.9649999999</v>
      </c>
      <c r="L104" s="15"/>
      <c r="M104" s="51">
        <f>SUM(M97:M103)</f>
        <v>36175170.09</v>
      </c>
      <c r="N104" s="51">
        <f>SUM(N97:N103)</f>
        <v>751481.74</v>
      </c>
      <c r="O104" s="52">
        <f>SUM(O97:O103)</f>
        <v>1424133.4200000004</v>
      </c>
      <c r="P104" s="15"/>
      <c r="Q104" s="51">
        <f>SUM(Q97:Q103)</f>
        <v>22281461.090000004</v>
      </c>
      <c r="R104" s="51">
        <f>SUM(R97:R103)</f>
        <v>883707.9799999999</v>
      </c>
      <c r="S104" s="52">
        <f>SUM(S97:S103)</f>
        <v>1926006.5099999998</v>
      </c>
    </row>
    <row r="105" spans="1:19" ht="15" thickTop="1">
      <c r="A105" s="17">
        <f t="shared" si="12"/>
        <v>89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5"/>
      <c r="P105" s="15"/>
      <c r="Q105" s="15"/>
      <c r="R105" s="15"/>
      <c r="S105" s="15"/>
    </row>
    <row r="106" spans="1:19" ht="14.25">
      <c r="A106" s="17">
        <f t="shared" si="12"/>
        <v>90</v>
      </c>
      <c r="C106" s="15"/>
      <c r="D106" s="36"/>
      <c r="E106" s="15"/>
      <c r="F106" s="15"/>
      <c r="G106" s="15"/>
      <c r="H106" s="15"/>
      <c r="I106" s="15"/>
      <c r="J106" s="15"/>
      <c r="K106" s="15"/>
      <c r="L106" s="15"/>
      <c r="P106" s="15"/>
      <c r="Q106" s="15"/>
      <c r="R106" s="15"/>
      <c r="S106" s="15"/>
    </row>
    <row r="107" spans="1:19" ht="14.25">
      <c r="A107" s="17">
        <f t="shared" si="12"/>
        <v>91</v>
      </c>
      <c r="B107" s="5" t="s">
        <v>115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P107" s="15"/>
      <c r="Q107" s="15"/>
      <c r="R107" s="15"/>
      <c r="S107" s="15"/>
    </row>
    <row r="108" spans="1:19" ht="14.25">
      <c r="A108" s="17">
        <f t="shared" si="12"/>
        <v>92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P108" s="15"/>
      <c r="Q108" s="15"/>
      <c r="R108" s="15"/>
      <c r="S108" s="15"/>
    </row>
    <row r="109" spans="1:19" ht="14.25">
      <c r="A109" s="17">
        <f t="shared" si="12"/>
        <v>93</v>
      </c>
      <c r="B109" s="5" t="s">
        <v>116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4.25">
      <c r="A110" s="17">
        <f t="shared" si="12"/>
        <v>94</v>
      </c>
      <c r="C110" s="15"/>
      <c r="D110" s="22"/>
      <c r="E110" s="22"/>
      <c r="F110" s="22"/>
      <c r="G110" s="22"/>
      <c r="H110" s="22"/>
      <c r="I110" s="22"/>
      <c r="J110" s="22"/>
      <c r="K110" s="22"/>
      <c r="L110" s="22"/>
      <c r="M110" s="15"/>
      <c r="N110" s="15"/>
      <c r="O110" s="15"/>
      <c r="P110" s="15"/>
      <c r="Q110" s="15"/>
      <c r="R110" s="15"/>
      <c r="S110" s="15"/>
    </row>
    <row r="111" spans="1:19" ht="14.25">
      <c r="A111" s="17">
        <f t="shared" si="12"/>
        <v>95</v>
      </c>
      <c r="B111" s="5" t="s">
        <v>117</v>
      </c>
      <c r="C111" s="15"/>
      <c r="D111" s="22"/>
      <c r="E111" s="22"/>
      <c r="F111" s="22"/>
      <c r="G111" s="22"/>
      <c r="H111" s="22"/>
      <c r="I111" s="22"/>
      <c r="J111" s="22"/>
      <c r="K111" s="22"/>
      <c r="L111" s="22"/>
      <c r="M111" s="15"/>
      <c r="N111" s="15"/>
      <c r="O111" s="15"/>
      <c r="P111" s="15"/>
      <c r="Q111" s="15"/>
      <c r="R111" s="15"/>
      <c r="S111" s="15"/>
    </row>
    <row r="112" spans="1:19" ht="14.25">
      <c r="A112" s="17">
        <f t="shared" si="12"/>
        <v>96</v>
      </c>
      <c r="B112" s="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4.25">
      <c r="A113" s="17">
        <f t="shared" si="12"/>
        <v>97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4.25">
      <c r="A114" s="17">
        <f t="shared" si="12"/>
        <v>98</v>
      </c>
      <c r="B114" s="14" t="s">
        <v>118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4.25">
      <c r="A115" s="17">
        <f t="shared" si="12"/>
        <v>99</v>
      </c>
      <c r="B115" s="14" t="s">
        <v>119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4.25">
      <c r="A116" s="17">
        <f t="shared" si="12"/>
        <v>100</v>
      </c>
      <c r="B116" s="5" t="s">
        <v>298</v>
      </c>
      <c r="C116" s="15">
        <f>SUM(M116:O116)</f>
        <v>0</v>
      </c>
      <c r="D116" s="15">
        <f>SUM(Q116:S116)</f>
        <v>0</v>
      </c>
      <c r="E116" s="15"/>
      <c r="F116" s="15"/>
      <c r="G116" s="15">
        <f>ROUND(SUM(C116:F116)/2,0)</f>
        <v>0</v>
      </c>
      <c r="H116" s="15"/>
      <c r="I116" s="15">
        <f>(M116+Q116)/2</f>
        <v>0</v>
      </c>
      <c r="J116" s="15">
        <f>(N116+R116)/2</f>
        <v>0</v>
      </c>
      <c r="K116" s="15">
        <f>(O116+S116)/2</f>
        <v>0</v>
      </c>
      <c r="L116" s="15"/>
      <c r="M116" s="81">
        <v>0</v>
      </c>
      <c r="N116" s="81">
        <v>0</v>
      </c>
      <c r="O116" s="81">
        <v>0</v>
      </c>
      <c r="P116" s="15"/>
      <c r="Q116" s="81">
        <v>0</v>
      </c>
      <c r="R116" s="81">
        <v>0</v>
      </c>
      <c r="S116" s="81">
        <v>0</v>
      </c>
    </row>
    <row r="117" spans="1:19" ht="14.25">
      <c r="A117" s="17">
        <f t="shared" si="12"/>
        <v>101</v>
      </c>
      <c r="B117" s="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4.25">
      <c r="A118" s="17">
        <f t="shared" si="12"/>
        <v>102</v>
      </c>
      <c r="B118" s="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5" thickBot="1">
      <c r="A119" s="17">
        <f t="shared" si="12"/>
        <v>103</v>
      </c>
      <c r="B119" s="14" t="s">
        <v>122</v>
      </c>
      <c r="C119" s="18">
        <f>SUM(C116:C118)</f>
        <v>0</v>
      </c>
      <c r="D119" s="18">
        <f>SUM(D116:D118)</f>
        <v>0</v>
      </c>
      <c r="E119" s="18">
        <f>SUM(E116:E118)</f>
        <v>0</v>
      </c>
      <c r="F119" s="18">
        <f>SUM(F116:F118)</f>
        <v>0</v>
      </c>
      <c r="G119" s="18">
        <f>SUM(G116:G118)</f>
        <v>0</v>
      </c>
      <c r="H119" s="18"/>
      <c r="I119" s="18">
        <f>SUM(I116:I118)</f>
        <v>0</v>
      </c>
      <c r="J119" s="18">
        <f>SUM(J116:J118)</f>
        <v>0</v>
      </c>
      <c r="K119" s="18">
        <f>SUM(K116:K118)</f>
        <v>0</v>
      </c>
      <c r="L119" s="18"/>
      <c r="M119" s="18">
        <f>SUM(M116:M118)</f>
        <v>0</v>
      </c>
      <c r="N119" s="18">
        <f>SUM(N116:N118)</f>
        <v>0</v>
      </c>
      <c r="O119" s="18">
        <f>SUM(O116:O118)</f>
        <v>0</v>
      </c>
      <c r="P119" s="15"/>
      <c r="Q119" s="18">
        <f>SUM(Q116:Q118)</f>
        <v>0</v>
      </c>
      <c r="R119" s="18">
        <f>SUM(R116:R118)</f>
        <v>0</v>
      </c>
      <c r="S119" s="18">
        <f>SUM(S116:S118)</f>
        <v>0</v>
      </c>
    </row>
    <row r="120" spans="1:19" ht="15" thickTop="1">
      <c r="A120" s="17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5"/>
      <c r="Q120" s="19"/>
      <c r="R120" s="19"/>
      <c r="S120" s="19"/>
    </row>
    <row r="121" spans="1:19" ht="14.25">
      <c r="A121" s="17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colBreaks count="2" manualBreakCount="2">
    <brk id="11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5"/>
  <sheetViews>
    <sheetView showOutlineSymbols="0" zoomScale="87" zoomScaleNormal="87"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12.7109375" defaultRowHeight="15"/>
  <cols>
    <col min="1" max="1" width="5.8515625" style="2" customWidth="1"/>
    <col min="2" max="2" width="55.140625" style="4" bestFit="1" customWidth="1"/>
    <col min="3" max="7" width="15.7109375" style="4" customWidth="1"/>
    <col min="8" max="8" width="3.140625" style="4" customWidth="1"/>
    <col min="9" max="11" width="15.7109375" style="4" customWidth="1"/>
    <col min="12" max="12" width="3.00390625" style="4" customWidth="1"/>
    <col min="13" max="15" width="15.7109375" style="4" customWidth="1"/>
    <col min="16" max="16" width="2.8515625" style="4" customWidth="1"/>
    <col min="17" max="19" width="15.7109375" style="4" customWidth="1"/>
    <col min="20" max="20" width="17.7109375" style="4" bestFit="1" customWidth="1"/>
    <col min="21" max="16384" width="12.7109375" style="4" customWidth="1"/>
  </cols>
  <sheetData>
    <row r="1" spans="2:20" ht="14.25">
      <c r="B1" s="3" t="s">
        <v>368</v>
      </c>
      <c r="G1" s="14"/>
      <c r="H1" s="14"/>
      <c r="I1" s="14"/>
      <c r="J1" s="14"/>
      <c r="K1" s="14"/>
      <c r="L1" s="14"/>
      <c r="T1" s="38"/>
    </row>
    <row r="2" spans="2:20" ht="14.25">
      <c r="B2" s="3" t="s">
        <v>123</v>
      </c>
      <c r="G2" s="5"/>
      <c r="H2" s="5"/>
      <c r="I2" s="5"/>
      <c r="J2" s="5"/>
      <c r="K2" s="5"/>
      <c r="L2" s="5"/>
      <c r="T2" s="5"/>
    </row>
    <row r="3" ht="14.25">
      <c r="B3" s="3" t="s">
        <v>579</v>
      </c>
    </row>
    <row r="4" ht="14.25">
      <c r="B4" s="17"/>
    </row>
    <row r="5" ht="14.25">
      <c r="B5" s="7"/>
    </row>
    <row r="6" spans="7:12" ht="14.25">
      <c r="G6" s="6" t="s">
        <v>124</v>
      </c>
      <c r="H6" s="6"/>
      <c r="I6" s="6"/>
      <c r="J6" s="6"/>
      <c r="K6" s="6"/>
      <c r="L6" s="6"/>
    </row>
    <row r="8" spans="2:19" ht="14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/>
      <c r="I8" s="8" t="s">
        <v>9</v>
      </c>
      <c r="J8" s="8" t="s">
        <v>10</v>
      </c>
      <c r="K8" s="8" t="s">
        <v>11</v>
      </c>
      <c r="L8" s="8"/>
      <c r="M8" s="8" t="s">
        <v>12</v>
      </c>
      <c r="N8" s="8" t="s">
        <v>13</v>
      </c>
      <c r="O8" s="8" t="s">
        <v>14</v>
      </c>
      <c r="Q8" s="8" t="s">
        <v>15</v>
      </c>
      <c r="R8" s="8" t="s">
        <v>16</v>
      </c>
      <c r="S8" s="8" t="s">
        <v>17</v>
      </c>
    </row>
    <row r="10" spans="3:19" ht="14.25">
      <c r="C10" s="9" t="s">
        <v>18</v>
      </c>
      <c r="D10" s="9"/>
      <c r="E10" s="10" t="s">
        <v>19</v>
      </c>
      <c r="F10" s="9"/>
      <c r="G10" s="11" t="s">
        <v>20</v>
      </c>
      <c r="H10" s="11"/>
      <c r="I10" s="12" t="s">
        <v>21</v>
      </c>
      <c r="J10" s="9"/>
      <c r="K10" s="9"/>
      <c r="L10" s="11"/>
      <c r="M10" s="32" t="s">
        <v>580</v>
      </c>
      <c r="N10" s="9"/>
      <c r="O10" s="9"/>
      <c r="Q10" s="32" t="s">
        <v>530</v>
      </c>
      <c r="R10" s="9"/>
      <c r="S10" s="9"/>
    </row>
    <row r="11" spans="3:19" ht="14.25">
      <c r="C11" s="13"/>
      <c r="D11" s="13"/>
      <c r="G11" s="11" t="s">
        <v>22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4.25"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24</v>
      </c>
      <c r="H12" s="11"/>
      <c r="L12" s="11"/>
    </row>
    <row r="13" spans="2:19" ht="14.25">
      <c r="B13" s="8" t="s">
        <v>25</v>
      </c>
      <c r="C13" s="8" t="s">
        <v>581</v>
      </c>
      <c r="D13" s="8" t="s">
        <v>531</v>
      </c>
      <c r="E13" s="8" t="s">
        <v>581</v>
      </c>
      <c r="F13" s="8" t="s">
        <v>531</v>
      </c>
      <c r="G13" s="8" t="s">
        <v>26</v>
      </c>
      <c r="H13" s="8"/>
      <c r="I13" s="8" t="s">
        <v>27</v>
      </c>
      <c r="J13" s="8" t="s">
        <v>28</v>
      </c>
      <c r="K13" s="8" t="s">
        <v>29</v>
      </c>
      <c r="L13" s="8"/>
      <c r="M13" s="8" t="s">
        <v>27</v>
      </c>
      <c r="N13" s="8" t="s">
        <v>28</v>
      </c>
      <c r="O13" s="8" t="s">
        <v>29</v>
      </c>
      <c r="Q13" s="8" t="s">
        <v>27</v>
      </c>
      <c r="R13" s="8" t="s">
        <v>28</v>
      </c>
      <c r="S13" s="8" t="s">
        <v>29</v>
      </c>
    </row>
    <row r="15" spans="1:20" ht="14.25">
      <c r="A15" s="34"/>
      <c r="B15" s="20" t="s">
        <v>125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3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35">
        <v>1</v>
      </c>
      <c r="B17" s="15" t="s">
        <v>299</v>
      </c>
      <c r="C17" s="15">
        <f>SUM(M17:O17)</f>
        <v>260887</v>
      </c>
      <c r="D17" s="15">
        <f>SUM(Q17:S17)</f>
        <v>217928</v>
      </c>
      <c r="E17" s="15"/>
      <c r="F17" s="15"/>
      <c r="G17" s="15">
        <f aca="true" t="shared" si="0" ref="G17:G77">ROUND(SUM(C17:F17)/2,0)</f>
        <v>239408</v>
      </c>
      <c r="H17" s="15"/>
      <c r="I17" s="15">
        <f>(+M17+Q17)/2</f>
        <v>194819.5</v>
      </c>
      <c r="J17" s="15">
        <f>(+N17+R17)/2</f>
        <v>0</v>
      </c>
      <c r="K17" s="15">
        <f>(+O17+S17)/2</f>
        <v>44588</v>
      </c>
      <c r="L17" s="15"/>
      <c r="M17" s="15">
        <v>214369</v>
      </c>
      <c r="N17" s="15">
        <v>0</v>
      </c>
      <c r="O17" s="15">
        <v>46518</v>
      </c>
      <c r="P17" s="15"/>
      <c r="Q17" s="15">
        <v>175270</v>
      </c>
      <c r="R17" s="15">
        <v>0</v>
      </c>
      <c r="S17" s="15">
        <v>42658</v>
      </c>
      <c r="T17" s="15"/>
    </row>
    <row r="18" spans="1:20" ht="14.25">
      <c r="A18" s="35">
        <f aca="true" t="shared" si="1" ref="A18:A81">A17+1</f>
        <v>2</v>
      </c>
      <c r="B18" s="15" t="s">
        <v>127</v>
      </c>
      <c r="C18" s="15">
        <f aca="true" t="shared" si="2" ref="C18:C77">SUM(M18:O18)</f>
        <v>7961442.159999999</v>
      </c>
      <c r="D18" s="15">
        <f aca="true" t="shared" si="3" ref="D18:D77">SUM(Q18:S18)</f>
        <v>6753193.77</v>
      </c>
      <c r="E18" s="15"/>
      <c r="F18" s="15"/>
      <c r="G18" s="15">
        <f t="shared" si="0"/>
        <v>7357318</v>
      </c>
      <c r="H18" s="15"/>
      <c r="I18" s="15">
        <f aca="true" t="shared" si="4" ref="I18:K77">(+M18+Q18)/2</f>
        <v>3419270.475</v>
      </c>
      <c r="J18" s="15">
        <f t="shared" si="4"/>
        <v>2356174.1149999998</v>
      </c>
      <c r="K18" s="15">
        <f t="shared" si="4"/>
        <v>1581873.375</v>
      </c>
      <c r="L18" s="15"/>
      <c r="M18" s="15">
        <f>5564002.29-1743280.62</f>
        <v>3820721.67</v>
      </c>
      <c r="N18" s="15">
        <f>3581543.73-1045171.97</f>
        <v>2536371.76</v>
      </c>
      <c r="O18" s="15">
        <f>2692316.32-1087967.59</f>
        <v>1604348.7299999997</v>
      </c>
      <c r="P18" s="15"/>
      <c r="Q18" s="15">
        <f>4592991.9-1575172.62</f>
        <v>3017819.2800000003</v>
      </c>
      <c r="R18" s="15">
        <f>3109363.44-933386.97</f>
        <v>2175976.4699999997</v>
      </c>
      <c r="S18" s="15">
        <f>2559900.61-1000502.59</f>
        <v>1559398.02</v>
      </c>
      <c r="T18" s="15"/>
    </row>
    <row r="19" spans="1:20" ht="14.25">
      <c r="A19" s="35">
        <f t="shared" si="1"/>
        <v>3</v>
      </c>
      <c r="B19" s="15" t="s">
        <v>303</v>
      </c>
      <c r="C19" s="15">
        <f t="shared" si="2"/>
        <v>2013260.29</v>
      </c>
      <c r="D19" s="15">
        <f t="shared" si="3"/>
        <v>1946589.96</v>
      </c>
      <c r="E19" s="15"/>
      <c r="F19" s="15"/>
      <c r="G19" s="15">
        <f t="shared" si="0"/>
        <v>1979925</v>
      </c>
      <c r="H19" s="15"/>
      <c r="I19" s="15">
        <f t="shared" si="4"/>
        <v>170583</v>
      </c>
      <c r="J19" s="15">
        <f t="shared" si="4"/>
        <v>130846.91</v>
      </c>
      <c r="K19" s="15">
        <f t="shared" si="4"/>
        <v>1678495.2149999999</v>
      </c>
      <c r="L19" s="15"/>
      <c r="M19" s="15">
        <v>162774.5</v>
      </c>
      <c r="N19" s="15">
        <v>150045.11</v>
      </c>
      <c r="O19" s="15">
        <v>1700440.68</v>
      </c>
      <c r="P19" s="15"/>
      <c r="Q19" s="15">
        <v>178391.5</v>
      </c>
      <c r="R19" s="15">
        <v>111648.71</v>
      </c>
      <c r="S19" s="15">
        <v>1656549.75</v>
      </c>
      <c r="T19" s="15"/>
    </row>
    <row r="20" spans="1:20" ht="14.25">
      <c r="A20" s="35">
        <f t="shared" si="1"/>
        <v>4</v>
      </c>
      <c r="B20" s="15" t="s">
        <v>304</v>
      </c>
      <c r="C20" s="15">
        <f t="shared" si="2"/>
        <v>-14233.93</v>
      </c>
      <c r="D20" s="15">
        <f t="shared" si="3"/>
        <v>-29937.68</v>
      </c>
      <c r="E20" s="15"/>
      <c r="F20" s="15"/>
      <c r="G20" s="15">
        <f t="shared" si="0"/>
        <v>-22086</v>
      </c>
      <c r="H20" s="15"/>
      <c r="I20" s="15">
        <f t="shared" si="4"/>
        <v>0</v>
      </c>
      <c r="J20" s="15">
        <f t="shared" si="4"/>
        <v>0</v>
      </c>
      <c r="K20" s="15">
        <f t="shared" si="4"/>
        <v>-22085.805</v>
      </c>
      <c r="L20" s="15"/>
      <c r="M20" s="15">
        <v>0</v>
      </c>
      <c r="N20" s="4">
        <v>0</v>
      </c>
      <c r="O20" s="15">
        <v>-14233.93</v>
      </c>
      <c r="P20" s="15"/>
      <c r="Q20" s="15">
        <v>0</v>
      </c>
      <c r="R20" s="15">
        <v>0</v>
      </c>
      <c r="S20" s="15">
        <v>-29937.68</v>
      </c>
      <c r="T20" s="15"/>
    </row>
    <row r="21" spans="1:20" ht="14.25">
      <c r="A21" s="35">
        <f t="shared" si="1"/>
        <v>5</v>
      </c>
      <c r="B21" s="1" t="s">
        <v>384</v>
      </c>
      <c r="C21" s="15">
        <f t="shared" si="2"/>
        <v>1080272.24</v>
      </c>
      <c r="D21" s="15">
        <f t="shared" si="3"/>
        <v>1223850.37</v>
      </c>
      <c r="E21" s="15"/>
      <c r="F21" s="15"/>
      <c r="G21" s="15">
        <f t="shared" si="0"/>
        <v>1152061</v>
      </c>
      <c r="H21" s="15"/>
      <c r="I21" s="15">
        <f t="shared" si="4"/>
        <v>1152061.3050000002</v>
      </c>
      <c r="J21" s="15">
        <f t="shared" si="4"/>
        <v>0</v>
      </c>
      <c r="K21" s="15">
        <f t="shared" si="4"/>
        <v>0</v>
      </c>
      <c r="L21" s="15"/>
      <c r="M21" s="15">
        <v>1080272.24</v>
      </c>
      <c r="N21" s="4">
        <v>0</v>
      </c>
      <c r="O21" s="4">
        <v>0</v>
      </c>
      <c r="P21" s="15"/>
      <c r="Q21" s="15">
        <v>1223850.37</v>
      </c>
      <c r="R21" s="15">
        <v>0</v>
      </c>
      <c r="S21" s="15">
        <v>0</v>
      </c>
      <c r="T21" s="15"/>
    </row>
    <row r="22" spans="1:20" ht="14.25">
      <c r="A22" s="35">
        <f t="shared" si="1"/>
        <v>6</v>
      </c>
      <c r="B22" s="1" t="s">
        <v>385</v>
      </c>
      <c r="C22" s="15">
        <f t="shared" si="2"/>
        <v>1765264.04</v>
      </c>
      <c r="D22" s="15">
        <f t="shared" si="3"/>
        <v>457247.8</v>
      </c>
      <c r="E22" s="15"/>
      <c r="F22" s="15"/>
      <c r="G22" s="15">
        <f t="shared" si="0"/>
        <v>1111256</v>
      </c>
      <c r="H22" s="15"/>
      <c r="I22" s="15">
        <f t="shared" si="4"/>
        <v>1111255.92</v>
      </c>
      <c r="J22" s="15">
        <f t="shared" si="4"/>
        <v>0</v>
      </c>
      <c r="K22" s="15">
        <f t="shared" si="4"/>
        <v>0</v>
      </c>
      <c r="L22" s="15"/>
      <c r="M22" s="15">
        <v>1765264.04</v>
      </c>
      <c r="N22" s="4">
        <v>0</v>
      </c>
      <c r="O22" s="4">
        <v>0</v>
      </c>
      <c r="P22" s="15"/>
      <c r="Q22" s="15">
        <v>457247.8</v>
      </c>
      <c r="R22" s="15">
        <v>0</v>
      </c>
      <c r="S22" s="15">
        <v>0</v>
      </c>
      <c r="T22" s="15"/>
    </row>
    <row r="23" spans="1:20" ht="14.25">
      <c r="A23" s="35">
        <f t="shared" si="1"/>
        <v>7</v>
      </c>
      <c r="B23" s="1" t="s">
        <v>386</v>
      </c>
      <c r="C23" s="15">
        <f t="shared" si="2"/>
        <v>1367947.3</v>
      </c>
      <c r="D23" s="15">
        <f t="shared" si="3"/>
        <v>2867535.6</v>
      </c>
      <c r="E23" s="15"/>
      <c r="F23" s="15"/>
      <c r="G23" s="15">
        <f t="shared" si="0"/>
        <v>2117741</v>
      </c>
      <c r="H23" s="15"/>
      <c r="I23" s="15">
        <f t="shared" si="4"/>
        <v>2117741.45</v>
      </c>
      <c r="J23" s="15">
        <f t="shared" si="4"/>
        <v>0</v>
      </c>
      <c r="K23" s="15">
        <f t="shared" si="4"/>
        <v>0</v>
      </c>
      <c r="L23" s="15"/>
      <c r="M23" s="15">
        <v>1367947.3</v>
      </c>
      <c r="N23" s="4">
        <v>0</v>
      </c>
      <c r="O23" s="4">
        <v>0</v>
      </c>
      <c r="P23" s="15"/>
      <c r="Q23" s="15">
        <v>2867535.6</v>
      </c>
      <c r="R23" s="15">
        <v>0</v>
      </c>
      <c r="S23" s="15">
        <v>0</v>
      </c>
      <c r="T23" s="15"/>
    </row>
    <row r="24" spans="1:20" ht="14.25">
      <c r="A24" s="35">
        <f t="shared" si="1"/>
        <v>8</v>
      </c>
      <c r="B24" s="20" t="s">
        <v>387</v>
      </c>
      <c r="C24" s="15">
        <f t="shared" si="2"/>
        <v>11065011.950000001</v>
      </c>
      <c r="D24" s="15">
        <f t="shared" si="3"/>
        <v>287254.2</v>
      </c>
      <c r="E24" s="15"/>
      <c r="F24" s="15"/>
      <c r="G24" s="15">
        <f t="shared" si="0"/>
        <v>5676133</v>
      </c>
      <c r="H24" s="15"/>
      <c r="I24" s="15">
        <f t="shared" si="4"/>
        <v>5284274.4350000005</v>
      </c>
      <c r="J24" s="15">
        <f t="shared" si="4"/>
        <v>391858.64</v>
      </c>
      <c r="K24" s="15">
        <f t="shared" si="4"/>
        <v>0</v>
      </c>
      <c r="L24" s="15"/>
      <c r="M24" s="15">
        <v>10673153.31</v>
      </c>
      <c r="N24" s="15">
        <v>391858.64</v>
      </c>
      <c r="O24" s="15">
        <v>0</v>
      </c>
      <c r="P24" s="15"/>
      <c r="Q24" s="15">
        <v>-104604.44</v>
      </c>
      <c r="R24" s="15">
        <v>391858.64</v>
      </c>
      <c r="S24" s="15">
        <v>0</v>
      </c>
      <c r="T24" s="15"/>
    </row>
    <row r="25" spans="1:20" ht="14.25">
      <c r="A25" s="35">
        <f t="shared" si="1"/>
        <v>9</v>
      </c>
      <c r="B25" s="15" t="s">
        <v>388</v>
      </c>
      <c r="C25" s="15">
        <f t="shared" si="2"/>
        <v>0</v>
      </c>
      <c r="D25" s="15">
        <f t="shared" si="3"/>
        <v>0</v>
      </c>
      <c r="E25" s="15"/>
      <c r="F25" s="15"/>
      <c r="G25" s="15">
        <f t="shared" si="0"/>
        <v>0</v>
      </c>
      <c r="H25" s="15"/>
      <c r="I25" s="15">
        <f t="shared" si="4"/>
        <v>0</v>
      </c>
      <c r="J25" s="15">
        <f t="shared" si="4"/>
        <v>0</v>
      </c>
      <c r="K25" s="15">
        <f t="shared" si="4"/>
        <v>0</v>
      </c>
      <c r="L25" s="15"/>
      <c r="M25" s="15"/>
      <c r="N25" s="4">
        <v>0</v>
      </c>
      <c r="O25" s="4">
        <v>0</v>
      </c>
      <c r="P25" s="15"/>
      <c r="Q25" s="15">
        <v>0</v>
      </c>
      <c r="R25" s="15">
        <v>0</v>
      </c>
      <c r="S25" s="15">
        <v>0</v>
      </c>
      <c r="T25" s="15"/>
    </row>
    <row r="26" spans="1:20" ht="14.25">
      <c r="A26" s="35">
        <f t="shared" si="1"/>
        <v>10</v>
      </c>
      <c r="B26" s="20" t="s">
        <v>138</v>
      </c>
      <c r="C26" s="15">
        <f t="shared" si="2"/>
        <v>977891.95</v>
      </c>
      <c r="D26" s="15">
        <f t="shared" si="3"/>
        <v>-586726.35</v>
      </c>
      <c r="E26" s="15"/>
      <c r="F26" s="15"/>
      <c r="G26" s="15">
        <f t="shared" si="0"/>
        <v>195583</v>
      </c>
      <c r="H26" s="15"/>
      <c r="I26" s="15">
        <f t="shared" si="4"/>
        <v>195582.8</v>
      </c>
      <c r="J26" s="15">
        <f t="shared" si="4"/>
        <v>0</v>
      </c>
      <c r="K26" s="15">
        <f t="shared" si="4"/>
        <v>0</v>
      </c>
      <c r="L26" s="15"/>
      <c r="M26" s="15">
        <v>977891.95</v>
      </c>
      <c r="N26" s="4">
        <v>0</v>
      </c>
      <c r="O26" s="4">
        <v>0</v>
      </c>
      <c r="P26" s="15"/>
      <c r="Q26" s="15">
        <v>-586726.35</v>
      </c>
      <c r="R26" s="15">
        <v>0</v>
      </c>
      <c r="S26" s="15">
        <v>0</v>
      </c>
      <c r="T26" s="15"/>
    </row>
    <row r="27" spans="1:20" ht="14.25">
      <c r="A27" s="35">
        <f t="shared" si="1"/>
        <v>11</v>
      </c>
      <c r="B27" s="20" t="s">
        <v>139</v>
      </c>
      <c r="C27" s="15">
        <f t="shared" si="2"/>
        <v>1009017.2699999999</v>
      </c>
      <c r="D27" s="15">
        <f t="shared" si="3"/>
        <v>706432.36</v>
      </c>
      <c r="E27" s="15"/>
      <c r="F27" s="15"/>
      <c r="G27" s="15">
        <f t="shared" si="0"/>
        <v>857725</v>
      </c>
      <c r="H27" s="15"/>
      <c r="I27" s="15">
        <f t="shared" si="4"/>
        <v>445756.07999999996</v>
      </c>
      <c r="J27" s="15">
        <f t="shared" si="4"/>
        <v>30849.699999999997</v>
      </c>
      <c r="K27" s="15">
        <f t="shared" si="4"/>
        <v>381119.035</v>
      </c>
      <c r="L27" s="15"/>
      <c r="M27" s="15">
        <v>625481.98</v>
      </c>
      <c r="N27" s="15">
        <v>25386.69</v>
      </c>
      <c r="O27" s="15">
        <v>358148.6</v>
      </c>
      <c r="P27" s="15"/>
      <c r="Q27" s="15">
        <f>53381.18+212649</f>
        <v>266030.18</v>
      </c>
      <c r="R27" s="15">
        <v>36312.71</v>
      </c>
      <c r="S27" s="15">
        <v>404089.47</v>
      </c>
      <c r="T27" s="15"/>
    </row>
    <row r="28" spans="1:20" ht="14.25">
      <c r="A28" s="35">
        <f t="shared" si="1"/>
        <v>12</v>
      </c>
      <c r="B28" s="15" t="s">
        <v>78</v>
      </c>
      <c r="C28" s="15">
        <f t="shared" si="2"/>
        <v>-16693434.26</v>
      </c>
      <c r="D28" s="15">
        <f t="shared" si="3"/>
        <v>-6799942.859999999</v>
      </c>
      <c r="E28" s="15"/>
      <c r="F28" s="15"/>
      <c r="G28" s="15">
        <f t="shared" si="0"/>
        <v>-11746689</v>
      </c>
      <c r="H28" s="15"/>
      <c r="I28" s="15">
        <f t="shared" si="4"/>
        <v>-7251197.925</v>
      </c>
      <c r="J28" s="15">
        <f t="shared" si="4"/>
        <v>-213538.51</v>
      </c>
      <c r="K28" s="15">
        <f t="shared" si="4"/>
        <v>-4281952.125</v>
      </c>
      <c r="L28" s="15"/>
      <c r="M28" s="15">
        <v>-12340100.74</v>
      </c>
      <c r="N28" s="15">
        <v>-197340.93</v>
      </c>
      <c r="O28" s="15">
        <v>-4155992.59</v>
      </c>
      <c r="P28" s="15"/>
      <c r="Q28" s="15">
        <v>-2162295.11</v>
      </c>
      <c r="R28" s="15">
        <v>-229736.09</v>
      </c>
      <c r="S28" s="15">
        <v>-4407911.66</v>
      </c>
      <c r="T28" s="15"/>
    </row>
    <row r="29" spans="1:20" ht="14.25">
      <c r="A29" s="35">
        <f t="shared" si="1"/>
        <v>13</v>
      </c>
      <c r="B29" s="20" t="s">
        <v>312</v>
      </c>
      <c r="C29" s="15">
        <f t="shared" si="2"/>
        <v>47376.94</v>
      </c>
      <c r="D29" s="15">
        <f t="shared" si="3"/>
        <v>47293.28</v>
      </c>
      <c r="E29" s="15"/>
      <c r="F29" s="15"/>
      <c r="G29" s="15">
        <f t="shared" si="0"/>
        <v>47335</v>
      </c>
      <c r="H29" s="15"/>
      <c r="I29" s="15">
        <f t="shared" si="4"/>
        <v>53.36</v>
      </c>
      <c r="J29" s="15">
        <f t="shared" si="4"/>
        <v>0</v>
      </c>
      <c r="K29" s="15">
        <f t="shared" si="4"/>
        <v>47281.75</v>
      </c>
      <c r="L29" s="15"/>
      <c r="M29" s="15">
        <v>53.36</v>
      </c>
      <c r="N29" s="4">
        <v>0</v>
      </c>
      <c r="O29" s="15">
        <v>47323.58</v>
      </c>
      <c r="P29" s="15"/>
      <c r="Q29" s="15">
        <v>53.36</v>
      </c>
      <c r="R29" s="15">
        <v>0</v>
      </c>
      <c r="S29" s="15">
        <v>47239.92</v>
      </c>
      <c r="T29" s="15"/>
    </row>
    <row r="30" spans="1:20" ht="14.25">
      <c r="A30" s="35">
        <f t="shared" si="1"/>
        <v>14</v>
      </c>
      <c r="B30" s="20" t="s">
        <v>389</v>
      </c>
      <c r="C30" s="15">
        <f t="shared" si="2"/>
        <v>-39359.95</v>
      </c>
      <c r="D30" s="15">
        <f t="shared" si="3"/>
        <v>-47289.549999999996</v>
      </c>
      <c r="E30" s="15"/>
      <c r="F30" s="15"/>
      <c r="G30" s="15">
        <f t="shared" si="0"/>
        <v>-43325</v>
      </c>
      <c r="H30" s="15"/>
      <c r="I30" s="15">
        <f t="shared" si="4"/>
        <v>-53.2</v>
      </c>
      <c r="J30" s="15">
        <f t="shared" si="4"/>
        <v>0</v>
      </c>
      <c r="K30" s="15">
        <f t="shared" si="4"/>
        <v>-43271.55</v>
      </c>
      <c r="L30" s="15"/>
      <c r="M30" s="15">
        <v>-53.2</v>
      </c>
      <c r="N30" s="4">
        <v>0</v>
      </c>
      <c r="O30" s="15">
        <v>-39306.75</v>
      </c>
      <c r="P30" s="15"/>
      <c r="Q30" s="15">
        <v>-53.2</v>
      </c>
      <c r="R30" s="15">
        <v>0</v>
      </c>
      <c r="S30" s="15">
        <v>-47236.35</v>
      </c>
      <c r="T30" s="15"/>
    </row>
    <row r="31" spans="1:20" ht="14.25">
      <c r="A31" s="35">
        <f t="shared" si="1"/>
        <v>15</v>
      </c>
      <c r="B31" s="15" t="s">
        <v>314</v>
      </c>
      <c r="C31" s="15">
        <f t="shared" si="2"/>
        <v>51251.22</v>
      </c>
      <c r="D31" s="15">
        <f t="shared" si="3"/>
        <v>96090.31999999999</v>
      </c>
      <c r="E31" s="15"/>
      <c r="F31" s="15"/>
      <c r="G31" s="15">
        <f t="shared" si="0"/>
        <v>73671</v>
      </c>
      <c r="H31" s="15"/>
      <c r="I31" s="15">
        <f t="shared" si="4"/>
        <v>6956.895</v>
      </c>
      <c r="J31" s="15">
        <f t="shared" si="4"/>
        <v>0</v>
      </c>
      <c r="K31" s="15">
        <f t="shared" si="4"/>
        <v>66713.875</v>
      </c>
      <c r="L31" s="15"/>
      <c r="M31" s="15">
        <v>7086.84</v>
      </c>
      <c r="N31" s="4">
        <v>0</v>
      </c>
      <c r="O31" s="15">
        <v>44164.38</v>
      </c>
      <c r="P31" s="15"/>
      <c r="Q31" s="15">
        <v>6826.95</v>
      </c>
      <c r="R31" s="15">
        <v>0</v>
      </c>
      <c r="S31" s="15">
        <v>89263.37</v>
      </c>
      <c r="T31" s="15"/>
    </row>
    <row r="32" spans="1:20" ht="14.25">
      <c r="A32" s="35">
        <f t="shared" si="1"/>
        <v>16</v>
      </c>
      <c r="B32" s="20" t="s">
        <v>144</v>
      </c>
      <c r="C32" s="15">
        <f t="shared" si="2"/>
        <v>249350.18</v>
      </c>
      <c r="D32" s="15">
        <f t="shared" si="3"/>
        <v>199479.78</v>
      </c>
      <c r="E32" s="15"/>
      <c r="F32" s="15"/>
      <c r="G32" s="15">
        <f t="shared" si="0"/>
        <v>224415</v>
      </c>
      <c r="H32" s="15"/>
      <c r="I32" s="15">
        <f t="shared" si="4"/>
        <v>29914.925000000003</v>
      </c>
      <c r="J32" s="15">
        <f t="shared" si="4"/>
        <v>0</v>
      </c>
      <c r="K32" s="15">
        <f t="shared" si="4"/>
        <v>194500.055</v>
      </c>
      <c r="L32" s="15"/>
      <c r="M32" s="15">
        <v>51127.3</v>
      </c>
      <c r="N32" s="4">
        <v>0</v>
      </c>
      <c r="O32" s="15">
        <v>198222.88</v>
      </c>
      <c r="P32" s="15"/>
      <c r="Q32" s="15">
        <v>8702.55</v>
      </c>
      <c r="R32" s="15">
        <v>0</v>
      </c>
      <c r="S32" s="15">
        <f>-0.18+190777.41</f>
        <v>190777.23</v>
      </c>
      <c r="T32" s="15"/>
    </row>
    <row r="33" spans="1:20" ht="14.25">
      <c r="A33" s="35">
        <f t="shared" si="1"/>
        <v>17</v>
      </c>
      <c r="B33" s="15" t="s">
        <v>145</v>
      </c>
      <c r="C33" s="15">
        <f t="shared" si="2"/>
        <v>30484.79</v>
      </c>
      <c r="D33" s="15">
        <f t="shared" si="3"/>
        <v>27146.79</v>
      </c>
      <c r="E33" s="15"/>
      <c r="F33" s="15"/>
      <c r="G33" s="15">
        <f t="shared" si="0"/>
        <v>28816</v>
      </c>
      <c r="H33" s="15"/>
      <c r="I33" s="15">
        <f t="shared" si="4"/>
        <v>9879.015000000001</v>
      </c>
      <c r="J33" s="15">
        <f t="shared" si="4"/>
        <v>1607.11</v>
      </c>
      <c r="K33" s="15">
        <f t="shared" si="4"/>
        <v>17329.665</v>
      </c>
      <c r="L33" s="15"/>
      <c r="M33" s="15">
        <v>19757.79</v>
      </c>
      <c r="N33" s="15">
        <v>3214.31</v>
      </c>
      <c r="O33" s="15">
        <v>7512.69</v>
      </c>
      <c r="P33" s="15"/>
      <c r="Q33" s="15">
        <v>0.24</v>
      </c>
      <c r="R33" s="15">
        <v>-0.09</v>
      </c>
      <c r="S33" s="15">
        <v>27146.64</v>
      </c>
      <c r="T33" s="15"/>
    </row>
    <row r="34" spans="1:20" ht="14.25">
      <c r="A34" s="35">
        <f t="shared" si="1"/>
        <v>18</v>
      </c>
      <c r="B34" s="15" t="s">
        <v>146</v>
      </c>
      <c r="C34" s="15">
        <f t="shared" si="2"/>
        <v>18631.23</v>
      </c>
      <c r="D34" s="15">
        <f t="shared" si="3"/>
        <v>38493.38</v>
      </c>
      <c r="E34" s="15"/>
      <c r="F34" s="15"/>
      <c r="G34" s="15">
        <f t="shared" si="0"/>
        <v>28562</v>
      </c>
      <c r="H34" s="15"/>
      <c r="I34" s="15">
        <f t="shared" si="4"/>
        <v>28562.275</v>
      </c>
      <c r="J34" s="15">
        <f t="shared" si="4"/>
        <v>0</v>
      </c>
      <c r="K34" s="15">
        <f t="shared" si="4"/>
        <v>0.03</v>
      </c>
      <c r="L34" s="15"/>
      <c r="M34" s="15">
        <v>18631.2</v>
      </c>
      <c r="N34" s="4">
        <v>0</v>
      </c>
      <c r="O34" s="15">
        <v>0.03</v>
      </c>
      <c r="P34" s="15"/>
      <c r="Q34" s="15">
        <v>38493.35</v>
      </c>
      <c r="R34" s="15">
        <v>0</v>
      </c>
      <c r="S34" s="15">
        <v>0.03</v>
      </c>
      <c r="T34" s="15"/>
    </row>
    <row r="35" spans="1:20" ht="14.25">
      <c r="A35" s="35">
        <f t="shared" si="1"/>
        <v>19</v>
      </c>
      <c r="B35" s="20" t="s">
        <v>147</v>
      </c>
      <c r="C35" s="15">
        <f t="shared" si="2"/>
        <v>-2174.9</v>
      </c>
      <c r="D35" s="15">
        <f t="shared" si="3"/>
        <v>-5350.8</v>
      </c>
      <c r="E35" s="15"/>
      <c r="F35" s="15"/>
      <c r="G35" s="15">
        <f t="shared" si="0"/>
        <v>-3763</v>
      </c>
      <c r="H35" s="15"/>
      <c r="I35" s="15">
        <f t="shared" si="4"/>
        <v>-3762.8500000000004</v>
      </c>
      <c r="J35" s="15">
        <f t="shared" si="4"/>
        <v>0</v>
      </c>
      <c r="K35" s="15">
        <f t="shared" si="4"/>
        <v>0</v>
      </c>
      <c r="L35" s="15"/>
      <c r="M35" s="15">
        <v>-2174.9</v>
      </c>
      <c r="N35" s="4">
        <v>0</v>
      </c>
      <c r="O35" s="4">
        <v>0</v>
      </c>
      <c r="P35" s="15"/>
      <c r="Q35" s="15">
        <v>-5350.8</v>
      </c>
      <c r="R35" s="15">
        <v>0</v>
      </c>
      <c r="S35" s="15">
        <v>0</v>
      </c>
      <c r="T35" s="15"/>
    </row>
    <row r="36" spans="1:20" ht="14.25">
      <c r="A36" s="35">
        <f t="shared" si="1"/>
        <v>20</v>
      </c>
      <c r="B36" s="20" t="s">
        <v>565</v>
      </c>
      <c r="C36" s="15">
        <f>SUM(M36:O36)</f>
        <v>11191554.68</v>
      </c>
      <c r="D36" s="15">
        <f>SUM(Q36:S36)</f>
        <v>11191060.83</v>
      </c>
      <c r="E36" s="15"/>
      <c r="F36" s="15"/>
      <c r="G36" s="15">
        <f>ROUND(SUM(C36:F36)/2,0)</f>
        <v>11191308</v>
      </c>
      <c r="H36" s="15"/>
      <c r="I36" s="15">
        <f t="shared" si="4"/>
        <v>11191307.754999999</v>
      </c>
      <c r="J36" s="15">
        <f t="shared" si="4"/>
        <v>0</v>
      </c>
      <c r="K36" s="15">
        <f t="shared" si="4"/>
        <v>0</v>
      </c>
      <c r="L36" s="15"/>
      <c r="M36" s="15">
        <v>11191554.68</v>
      </c>
      <c r="N36" s="4">
        <v>0</v>
      </c>
      <c r="O36" s="4">
        <v>0</v>
      </c>
      <c r="P36" s="15"/>
      <c r="Q36" s="15">
        <v>11191060.83</v>
      </c>
      <c r="R36" s="15">
        <v>0</v>
      </c>
      <c r="S36" s="15">
        <v>0</v>
      </c>
      <c r="T36" s="15"/>
    </row>
    <row r="37" spans="1:20" ht="14.25">
      <c r="A37" s="35">
        <f t="shared" si="1"/>
        <v>21</v>
      </c>
      <c r="B37" s="20" t="s">
        <v>540</v>
      </c>
      <c r="C37" s="15">
        <f>SUM(M37:O37)</f>
        <v>0</v>
      </c>
      <c r="D37" s="15">
        <f>SUM(Q37:S37)</f>
        <v>147442.6</v>
      </c>
      <c r="E37" s="15"/>
      <c r="F37" s="15"/>
      <c r="G37" s="15">
        <f>ROUND(SUM(C37:F37)/2,0)</f>
        <v>73721</v>
      </c>
      <c r="H37" s="15"/>
      <c r="I37" s="15">
        <f t="shared" si="4"/>
        <v>17995.775</v>
      </c>
      <c r="J37" s="15">
        <f t="shared" si="4"/>
        <v>7933.625</v>
      </c>
      <c r="K37" s="15">
        <f t="shared" si="4"/>
        <v>47791.9</v>
      </c>
      <c r="L37" s="15"/>
      <c r="M37" s="15">
        <v>0</v>
      </c>
      <c r="N37" s="4">
        <v>0</v>
      </c>
      <c r="O37" s="4">
        <v>0</v>
      </c>
      <c r="P37" s="15"/>
      <c r="Q37" s="15">
        <v>35991.55</v>
      </c>
      <c r="R37" s="15">
        <v>15867.25</v>
      </c>
      <c r="S37" s="15">
        <v>95583.8</v>
      </c>
      <c r="T37" s="15"/>
    </row>
    <row r="38" spans="1:20" ht="14.25">
      <c r="A38" s="35">
        <f t="shared" si="1"/>
        <v>22</v>
      </c>
      <c r="B38" s="15" t="s">
        <v>148</v>
      </c>
      <c r="C38" s="15">
        <f t="shared" si="2"/>
        <v>2091041.35</v>
      </c>
      <c r="D38" s="15">
        <f t="shared" si="3"/>
        <v>872239.8500000001</v>
      </c>
      <c r="E38" s="15"/>
      <c r="F38" s="15"/>
      <c r="G38" s="15">
        <f t="shared" si="0"/>
        <v>1481641</v>
      </c>
      <c r="H38" s="15"/>
      <c r="I38" s="15">
        <f t="shared" si="4"/>
        <v>785264.92</v>
      </c>
      <c r="J38" s="15">
        <f t="shared" si="4"/>
        <v>189318.255</v>
      </c>
      <c r="K38" s="15">
        <f t="shared" si="4"/>
        <v>507057.42500000005</v>
      </c>
      <c r="L38" s="15"/>
      <c r="M38" s="15">
        <v>1303927.27</v>
      </c>
      <c r="N38" s="15">
        <v>174330.94</v>
      </c>
      <c r="O38" s="15">
        <v>612783.14</v>
      </c>
      <c r="P38" s="15"/>
      <c r="Q38" s="15">
        <v>266602.57</v>
      </c>
      <c r="R38" s="15">
        <v>204305.57</v>
      </c>
      <c r="S38" s="15">
        <v>401331.71</v>
      </c>
      <c r="T38" s="15"/>
    </row>
    <row r="39" spans="1:20" ht="14.25">
      <c r="A39" s="35">
        <f t="shared" si="1"/>
        <v>23</v>
      </c>
      <c r="B39" s="15" t="s">
        <v>150</v>
      </c>
      <c r="C39" s="15">
        <f t="shared" si="2"/>
        <v>1387257.81</v>
      </c>
      <c r="D39" s="15">
        <f t="shared" si="3"/>
        <v>758345.52</v>
      </c>
      <c r="E39" s="15"/>
      <c r="F39" s="15"/>
      <c r="G39" s="15">
        <f t="shared" si="0"/>
        <v>1072802</v>
      </c>
      <c r="H39" s="15"/>
      <c r="I39" s="15">
        <f t="shared" si="4"/>
        <v>542045.15</v>
      </c>
      <c r="J39" s="15">
        <f t="shared" si="4"/>
        <v>59285.965</v>
      </c>
      <c r="K39" s="15">
        <f t="shared" si="4"/>
        <v>471470.55000000005</v>
      </c>
      <c r="L39" s="15"/>
      <c r="M39" s="15">
        <v>869429.09</v>
      </c>
      <c r="N39" s="15">
        <v>46533.02</v>
      </c>
      <c r="O39" s="15">
        <v>471295.7</v>
      </c>
      <c r="P39" s="15"/>
      <c r="Q39" s="15">
        <v>214661.21</v>
      </c>
      <c r="R39" s="15">
        <v>72038.91</v>
      </c>
      <c r="S39" s="15">
        <v>471645.4</v>
      </c>
      <c r="T39" s="15"/>
    </row>
    <row r="40" spans="1:20" ht="14.25">
      <c r="A40" s="35">
        <f t="shared" si="1"/>
        <v>24</v>
      </c>
      <c r="B40" s="15" t="s">
        <v>576</v>
      </c>
      <c r="C40" s="15">
        <f t="shared" si="2"/>
        <v>25743.469999999998</v>
      </c>
      <c r="D40" s="15">
        <f t="shared" si="3"/>
        <v>49185.26</v>
      </c>
      <c r="E40" s="15"/>
      <c r="F40" s="15"/>
      <c r="G40" s="15">
        <f t="shared" si="0"/>
        <v>37464</v>
      </c>
      <c r="H40" s="15"/>
      <c r="I40" s="15">
        <f t="shared" si="4"/>
        <v>-0.22</v>
      </c>
      <c r="J40" s="15">
        <f t="shared" si="4"/>
        <v>0</v>
      </c>
      <c r="K40" s="15">
        <f t="shared" si="4"/>
        <v>37464.585</v>
      </c>
      <c r="L40" s="15"/>
      <c r="M40" s="15">
        <v>-0.22</v>
      </c>
      <c r="N40" s="4">
        <v>0</v>
      </c>
      <c r="O40" s="15">
        <v>25743.69</v>
      </c>
      <c r="P40" s="15"/>
      <c r="Q40" s="15">
        <v>-0.22</v>
      </c>
      <c r="R40" s="15">
        <v>0</v>
      </c>
      <c r="S40" s="15">
        <v>49185.48</v>
      </c>
      <c r="T40" s="15"/>
    </row>
    <row r="41" spans="1:20" ht="14.25">
      <c r="A41" s="35">
        <f t="shared" si="1"/>
        <v>25</v>
      </c>
      <c r="B41" s="20" t="s">
        <v>390</v>
      </c>
      <c r="C41" s="15">
        <f t="shared" si="2"/>
        <v>1588750.25</v>
      </c>
      <c r="D41" s="15">
        <f t="shared" si="3"/>
        <v>-0.16</v>
      </c>
      <c r="E41" s="15"/>
      <c r="F41" s="15"/>
      <c r="G41" s="15">
        <f t="shared" si="0"/>
        <v>794375</v>
      </c>
      <c r="H41" s="15"/>
      <c r="I41" s="15">
        <f t="shared" si="4"/>
        <v>794375.295</v>
      </c>
      <c r="J41" s="15">
        <f t="shared" si="4"/>
        <v>0</v>
      </c>
      <c r="K41" s="15">
        <f t="shared" si="4"/>
        <v>-0.25</v>
      </c>
      <c r="L41" s="15"/>
      <c r="M41" s="15">
        <v>1588750.59</v>
      </c>
      <c r="N41" s="15">
        <v>0</v>
      </c>
      <c r="O41" s="15">
        <f>-0.16-0.18</f>
        <v>-0.33999999999999997</v>
      </c>
      <c r="P41" s="15"/>
      <c r="Q41" s="15">
        <v>0</v>
      </c>
      <c r="R41" s="15">
        <v>0</v>
      </c>
      <c r="S41" s="15">
        <v>-0.16</v>
      </c>
      <c r="T41" s="15"/>
    </row>
    <row r="42" spans="1:20" ht="14.25">
      <c r="A42" s="35">
        <f t="shared" si="1"/>
        <v>26</v>
      </c>
      <c r="B42" s="20" t="s">
        <v>566</v>
      </c>
      <c r="C42" s="15">
        <f>SUM(M42:O42)</f>
        <v>81550</v>
      </c>
      <c r="D42" s="15">
        <f>SUM(Q42:S42)</f>
        <v>163100.01</v>
      </c>
      <c r="E42" s="15"/>
      <c r="F42" s="15"/>
      <c r="G42" s="15">
        <f>ROUND(SUM(C42:F42)/2,0)</f>
        <v>122325</v>
      </c>
      <c r="H42" s="15"/>
      <c r="I42" s="15">
        <f t="shared" si="4"/>
        <v>122325</v>
      </c>
      <c r="J42" s="15">
        <f t="shared" si="4"/>
        <v>0</v>
      </c>
      <c r="K42" s="15">
        <f t="shared" si="4"/>
        <v>0.005</v>
      </c>
      <c r="L42" s="15"/>
      <c r="M42" s="15">
        <v>81550</v>
      </c>
      <c r="N42" s="15">
        <v>0</v>
      </c>
      <c r="O42" s="15">
        <v>0</v>
      </c>
      <c r="P42" s="15"/>
      <c r="Q42" s="15">
        <v>163100</v>
      </c>
      <c r="R42" s="15">
        <v>0</v>
      </c>
      <c r="S42" s="15">
        <v>0.01</v>
      </c>
      <c r="T42" s="15"/>
    </row>
    <row r="43" spans="1:20" ht="14.25">
      <c r="A43" s="35">
        <f t="shared" si="1"/>
        <v>27</v>
      </c>
      <c r="B43" s="20" t="s">
        <v>567</v>
      </c>
      <c r="C43" s="15">
        <f>SUM(M43:O43)</f>
        <v>244650</v>
      </c>
      <c r="D43" s="15">
        <f>SUM(Q43:S43)</f>
        <v>652400.01</v>
      </c>
      <c r="E43" s="15"/>
      <c r="F43" s="15"/>
      <c r="G43" s="15">
        <f>ROUND(SUM(C43:F43)/2,0)</f>
        <v>448525</v>
      </c>
      <c r="H43" s="15"/>
      <c r="I43" s="15">
        <f t="shared" si="4"/>
        <v>448525</v>
      </c>
      <c r="J43" s="15">
        <f t="shared" si="4"/>
        <v>0</v>
      </c>
      <c r="K43" s="15">
        <f t="shared" si="4"/>
        <v>0.005</v>
      </c>
      <c r="L43" s="15"/>
      <c r="M43" s="15">
        <v>244650</v>
      </c>
      <c r="N43" s="15">
        <v>0</v>
      </c>
      <c r="O43" s="15">
        <v>0</v>
      </c>
      <c r="P43" s="15"/>
      <c r="Q43" s="15">
        <v>652400</v>
      </c>
      <c r="R43" s="15">
        <v>0</v>
      </c>
      <c r="S43" s="15">
        <v>0.01</v>
      </c>
      <c r="T43" s="15"/>
    </row>
    <row r="44" spans="1:20" ht="14.25">
      <c r="A44" s="35">
        <f t="shared" si="1"/>
        <v>28</v>
      </c>
      <c r="B44" s="15" t="s">
        <v>153</v>
      </c>
      <c r="C44" s="15">
        <f t="shared" si="2"/>
        <v>-7301.52</v>
      </c>
      <c r="D44" s="15">
        <f t="shared" si="3"/>
        <v>-7301.52</v>
      </c>
      <c r="E44" s="15"/>
      <c r="F44" s="15"/>
      <c r="G44" s="15">
        <f t="shared" si="0"/>
        <v>-7302</v>
      </c>
      <c r="H44" s="15"/>
      <c r="I44" s="15">
        <f t="shared" si="4"/>
        <v>-7301.52</v>
      </c>
      <c r="J44" s="15">
        <f t="shared" si="4"/>
        <v>0</v>
      </c>
      <c r="K44" s="15">
        <f t="shared" si="4"/>
        <v>0</v>
      </c>
      <c r="L44" s="15"/>
      <c r="M44" s="15">
        <f>-5192.52-2109</f>
        <v>-7301.52</v>
      </c>
      <c r="N44" s="15">
        <v>0</v>
      </c>
      <c r="O44" s="15">
        <v>0</v>
      </c>
      <c r="P44" s="15"/>
      <c r="Q44" s="15">
        <f>-5192.52-2109</f>
        <v>-7301.52</v>
      </c>
      <c r="R44" s="15">
        <v>0</v>
      </c>
      <c r="S44" s="15">
        <v>0</v>
      </c>
      <c r="T44" s="15"/>
    </row>
    <row r="45" spans="1:20" ht="14.25">
      <c r="A45" s="35">
        <f t="shared" si="1"/>
        <v>29</v>
      </c>
      <c r="B45" s="20" t="s">
        <v>391</v>
      </c>
      <c r="C45" s="15">
        <f t="shared" si="2"/>
        <v>-11658.649999999994</v>
      </c>
      <c r="D45" s="15">
        <f t="shared" si="3"/>
        <v>11656.599999999991</v>
      </c>
      <c r="E45" s="15"/>
      <c r="F45" s="15"/>
      <c r="G45" s="15">
        <f t="shared" si="0"/>
        <v>-1</v>
      </c>
      <c r="H45" s="15"/>
      <c r="I45" s="15">
        <f t="shared" si="4"/>
        <v>-5194.4000000000015</v>
      </c>
      <c r="J45" s="15">
        <f t="shared" si="4"/>
        <v>-158.77500000000146</v>
      </c>
      <c r="K45" s="15">
        <f t="shared" si="4"/>
        <v>5352.1500000000015</v>
      </c>
      <c r="L45" s="15"/>
      <c r="M45" s="15">
        <f>-127142.75+116047</f>
        <v>-11095.75</v>
      </c>
      <c r="N45" s="15">
        <f>-77707+77302</f>
        <v>-405</v>
      </c>
      <c r="O45" s="15">
        <f>-116204.9+116047</f>
        <v>-157.89999999999418</v>
      </c>
      <c r="P45" s="15"/>
      <c r="Q45" s="15">
        <f>-115340.05+116047</f>
        <v>706.9499999999971</v>
      </c>
      <c r="R45" s="15">
        <f>-77214.55+77302</f>
        <v>87.44999999999709</v>
      </c>
      <c r="S45" s="15">
        <f>-105184.8+116047</f>
        <v>10862.199999999997</v>
      </c>
      <c r="T45" s="15"/>
    </row>
    <row r="46" spans="1:20" ht="14.25">
      <c r="A46" s="35">
        <f t="shared" si="1"/>
        <v>30</v>
      </c>
      <c r="B46" s="20" t="s">
        <v>392</v>
      </c>
      <c r="C46" s="15">
        <f t="shared" si="2"/>
        <v>-0.3499999999985448</v>
      </c>
      <c r="D46" s="15">
        <f t="shared" si="3"/>
        <v>10529.400000000001</v>
      </c>
      <c r="E46" s="15"/>
      <c r="F46" s="15"/>
      <c r="G46" s="15">
        <f t="shared" si="0"/>
        <v>5265</v>
      </c>
      <c r="H46" s="15"/>
      <c r="I46" s="15">
        <f t="shared" si="4"/>
        <v>2646.8250000000007</v>
      </c>
      <c r="J46" s="15">
        <f t="shared" si="4"/>
        <v>115.25</v>
      </c>
      <c r="K46" s="15">
        <f t="shared" si="4"/>
        <v>2502.4500000000007</v>
      </c>
      <c r="L46" s="15"/>
      <c r="M46" s="15">
        <f>26766.95-26767</f>
        <v>-0.049999999999272404</v>
      </c>
      <c r="N46" s="15">
        <f>17844.75-17845</f>
        <v>-0.25</v>
      </c>
      <c r="O46" s="15">
        <f>26766.95-26767</f>
        <v>-0.049999999999272404</v>
      </c>
      <c r="P46" s="15"/>
      <c r="Q46" s="15">
        <f>32060.7-26767</f>
        <v>5293.700000000001</v>
      </c>
      <c r="R46" s="15">
        <f>18075.75-17845</f>
        <v>230.75</v>
      </c>
      <c r="S46" s="15">
        <f>31771.95-26767</f>
        <v>5004.950000000001</v>
      </c>
      <c r="T46" s="15"/>
    </row>
    <row r="47" spans="1:20" ht="14.25">
      <c r="A47" s="35">
        <f t="shared" si="1"/>
        <v>31</v>
      </c>
      <c r="B47" s="20" t="s">
        <v>393</v>
      </c>
      <c r="C47" s="15">
        <f t="shared" si="2"/>
        <v>-1005587.4500000001</v>
      </c>
      <c r="D47" s="15">
        <f t="shared" si="3"/>
        <v>-1005587.4500000001</v>
      </c>
      <c r="E47" s="15"/>
      <c r="F47" s="15"/>
      <c r="G47" s="15">
        <f t="shared" si="0"/>
        <v>-1005587</v>
      </c>
      <c r="H47" s="15"/>
      <c r="I47" s="15">
        <f t="shared" si="4"/>
        <v>-1144292.85</v>
      </c>
      <c r="J47" s="15">
        <f t="shared" si="4"/>
        <v>490295.5</v>
      </c>
      <c r="K47" s="15">
        <f t="shared" si="4"/>
        <v>-351590.1</v>
      </c>
      <c r="L47" s="15"/>
      <c r="M47" s="15">
        <v>-1144292.85</v>
      </c>
      <c r="N47" s="15">
        <v>490295.5</v>
      </c>
      <c r="O47" s="15">
        <v>-351590.1</v>
      </c>
      <c r="P47" s="15"/>
      <c r="Q47" s="15">
        <v>-1144292.85</v>
      </c>
      <c r="R47" s="15">
        <v>490295.5</v>
      </c>
      <c r="S47" s="15">
        <v>-351590.1</v>
      </c>
      <c r="T47" s="15"/>
    </row>
    <row r="48" spans="1:20" ht="14.25">
      <c r="A48" s="35">
        <f t="shared" si="1"/>
        <v>32</v>
      </c>
      <c r="B48" s="20" t="s">
        <v>480</v>
      </c>
      <c r="C48" s="15">
        <f>SUM(M48:O48)</f>
        <v>127206</v>
      </c>
      <c r="D48" s="15">
        <f>SUM(Q48:S48)</f>
        <v>127206</v>
      </c>
      <c r="E48" s="15"/>
      <c r="F48" s="15"/>
      <c r="G48" s="15">
        <f>ROUND(SUM(C48:F48)/2,0)</f>
        <v>127206</v>
      </c>
      <c r="H48" s="15"/>
      <c r="I48" s="15">
        <f>(+M48+Q48)/2</f>
        <v>127206</v>
      </c>
      <c r="J48" s="15">
        <f>(+N48+R48)/2</f>
        <v>0</v>
      </c>
      <c r="K48" s="15">
        <f>(+O48+S48)/2</f>
        <v>0</v>
      </c>
      <c r="L48" s="15"/>
      <c r="M48" s="15">
        <v>127206</v>
      </c>
      <c r="N48" s="15">
        <v>0</v>
      </c>
      <c r="O48" s="15">
        <v>0</v>
      </c>
      <c r="P48" s="15"/>
      <c r="Q48" s="15">
        <v>127206</v>
      </c>
      <c r="R48" s="15">
        <v>0</v>
      </c>
      <c r="S48" s="15">
        <v>0</v>
      </c>
      <c r="T48" s="15"/>
    </row>
    <row r="49" spans="1:20" ht="14.25">
      <c r="A49" s="35">
        <f t="shared" si="1"/>
        <v>33</v>
      </c>
      <c r="B49" s="20" t="s">
        <v>160</v>
      </c>
      <c r="C49" s="15">
        <f t="shared" si="2"/>
        <v>582739.45</v>
      </c>
      <c r="D49" s="15">
        <f t="shared" si="3"/>
        <v>582739.44</v>
      </c>
      <c r="E49" s="15"/>
      <c r="F49" s="15"/>
      <c r="G49" s="15">
        <f t="shared" si="0"/>
        <v>582739</v>
      </c>
      <c r="H49" s="15"/>
      <c r="I49" s="15">
        <f t="shared" si="4"/>
        <v>582739.445</v>
      </c>
      <c r="J49" s="15">
        <f t="shared" si="4"/>
        <v>0</v>
      </c>
      <c r="K49" s="15">
        <f t="shared" si="4"/>
        <v>0</v>
      </c>
      <c r="L49" s="15"/>
      <c r="M49" s="15">
        <v>582739.45</v>
      </c>
      <c r="N49" s="4">
        <v>0</v>
      </c>
      <c r="O49" s="4">
        <v>0</v>
      </c>
      <c r="P49" s="15"/>
      <c r="Q49" s="15">
        <f>396107.44+186632</f>
        <v>582739.44</v>
      </c>
      <c r="R49" s="15">
        <v>0</v>
      </c>
      <c r="S49" s="15">
        <v>0</v>
      </c>
      <c r="T49" s="15"/>
    </row>
    <row r="50" spans="1:20" ht="14.25">
      <c r="A50" s="35">
        <f t="shared" si="1"/>
        <v>34</v>
      </c>
      <c r="B50" s="20" t="s">
        <v>327</v>
      </c>
      <c r="C50" s="15">
        <f t="shared" si="2"/>
        <v>57790.11</v>
      </c>
      <c r="D50" s="15">
        <f t="shared" si="3"/>
        <v>97687.08</v>
      </c>
      <c r="E50" s="15"/>
      <c r="F50" s="15"/>
      <c r="G50" s="15">
        <f t="shared" si="0"/>
        <v>77739</v>
      </c>
      <c r="H50" s="15"/>
      <c r="I50" s="15">
        <f t="shared" si="4"/>
        <v>77738.595</v>
      </c>
      <c r="J50" s="15">
        <f t="shared" si="4"/>
        <v>0</v>
      </c>
      <c r="K50" s="15">
        <f t="shared" si="4"/>
        <v>0</v>
      </c>
      <c r="L50" s="15"/>
      <c r="M50" s="15">
        <v>57790.11</v>
      </c>
      <c r="N50" s="4">
        <v>0</v>
      </c>
      <c r="O50" s="4">
        <v>0</v>
      </c>
      <c r="P50" s="15"/>
      <c r="Q50" s="15">
        <f>66401.08+31286</f>
        <v>97687.08</v>
      </c>
      <c r="R50" s="15">
        <v>0</v>
      </c>
      <c r="S50" s="15">
        <v>0</v>
      </c>
      <c r="T50" s="15"/>
    </row>
    <row r="51" spans="1:20" ht="14.25">
      <c r="A51" s="35">
        <f t="shared" si="1"/>
        <v>35</v>
      </c>
      <c r="B51" s="20" t="s">
        <v>394</v>
      </c>
      <c r="C51" s="15">
        <f t="shared" si="2"/>
        <v>-5073327.7</v>
      </c>
      <c r="D51" s="15">
        <f t="shared" si="3"/>
        <v>-6717783.1</v>
      </c>
      <c r="E51" s="15"/>
      <c r="F51" s="15"/>
      <c r="G51" s="15">
        <f t="shared" si="0"/>
        <v>-5895555</v>
      </c>
      <c r="H51" s="15"/>
      <c r="I51" s="15">
        <f t="shared" si="4"/>
        <v>0</v>
      </c>
      <c r="J51" s="15">
        <f t="shared" si="4"/>
        <v>0</v>
      </c>
      <c r="K51" s="15">
        <f t="shared" si="4"/>
        <v>-5895555.4</v>
      </c>
      <c r="L51" s="15"/>
      <c r="M51" s="4">
        <v>0</v>
      </c>
      <c r="N51" s="4">
        <v>0</v>
      </c>
      <c r="O51" s="15">
        <v>-5073327.7</v>
      </c>
      <c r="P51" s="15"/>
      <c r="Q51" s="15">
        <v>0</v>
      </c>
      <c r="R51" s="15">
        <v>0</v>
      </c>
      <c r="S51" s="15">
        <v>-6717783.1</v>
      </c>
      <c r="T51" s="15"/>
    </row>
    <row r="52" spans="1:20" ht="14.25">
      <c r="A52" s="35">
        <f t="shared" si="1"/>
        <v>36</v>
      </c>
      <c r="B52" s="20" t="s">
        <v>568</v>
      </c>
      <c r="C52" s="15">
        <f>SUM(M52:O52)</f>
        <v>111851</v>
      </c>
      <c r="D52" s="15">
        <f>SUM(Q52:S52)</f>
        <v>111851</v>
      </c>
      <c r="E52" s="15"/>
      <c r="F52" s="15"/>
      <c r="G52" s="15">
        <f>ROUND(SUM(C52:F52)/2,0)</f>
        <v>111851</v>
      </c>
      <c r="H52" s="15"/>
      <c r="I52" s="15">
        <f t="shared" si="4"/>
        <v>111851</v>
      </c>
      <c r="J52" s="15">
        <f t="shared" si="4"/>
        <v>0</v>
      </c>
      <c r="K52" s="15">
        <f t="shared" si="4"/>
        <v>0</v>
      </c>
      <c r="L52" s="15"/>
      <c r="M52" s="4">
        <v>111851</v>
      </c>
      <c r="N52" s="4">
        <v>0</v>
      </c>
      <c r="O52" s="4">
        <v>0</v>
      </c>
      <c r="P52" s="15"/>
      <c r="Q52" s="15">
        <v>111851</v>
      </c>
      <c r="R52" s="15">
        <v>0</v>
      </c>
      <c r="S52" s="4">
        <v>0</v>
      </c>
      <c r="T52" s="15"/>
    </row>
    <row r="53" spans="1:20" ht="14.25">
      <c r="A53" s="35">
        <f t="shared" si="1"/>
        <v>37</v>
      </c>
      <c r="B53" s="20" t="s">
        <v>170</v>
      </c>
      <c r="C53" s="15">
        <f>SUM(M53:O53)</f>
        <v>7752</v>
      </c>
      <c r="D53" s="15">
        <f>SUM(Q53:S53)</f>
        <v>7752</v>
      </c>
      <c r="E53" s="15"/>
      <c r="F53" s="15"/>
      <c r="G53" s="15">
        <f>ROUND(SUM(C53:F53)/2,0)</f>
        <v>7752</v>
      </c>
      <c r="H53" s="15"/>
      <c r="I53" s="15">
        <f t="shared" si="4"/>
        <v>7752</v>
      </c>
      <c r="J53" s="15">
        <f t="shared" si="4"/>
        <v>0</v>
      </c>
      <c r="K53" s="15">
        <f t="shared" si="4"/>
        <v>0</v>
      </c>
      <c r="L53" s="15"/>
      <c r="M53" s="4">
        <v>7752</v>
      </c>
      <c r="N53" s="4">
        <v>0</v>
      </c>
      <c r="O53" s="4">
        <v>0</v>
      </c>
      <c r="P53" s="15"/>
      <c r="Q53" s="15">
        <v>7752</v>
      </c>
      <c r="R53" s="15">
        <v>0</v>
      </c>
      <c r="S53" s="4">
        <v>0</v>
      </c>
      <c r="T53" s="15"/>
    </row>
    <row r="54" spans="1:20" ht="14.25">
      <c r="A54" s="35">
        <f t="shared" si="1"/>
        <v>38</v>
      </c>
      <c r="B54" s="20" t="s">
        <v>491</v>
      </c>
      <c r="C54" s="15">
        <f>SUM(M54:O54)</f>
        <v>151047.44</v>
      </c>
      <c r="D54" s="15">
        <f>SUM(Q54:S54)</f>
        <v>0</v>
      </c>
      <c r="E54" s="15"/>
      <c r="F54" s="15"/>
      <c r="G54" s="15">
        <f>ROUND(SUM(C54:F54)/2,0)</f>
        <v>75524</v>
      </c>
      <c r="H54" s="15"/>
      <c r="I54" s="15">
        <f t="shared" si="4"/>
        <v>75523.72</v>
      </c>
      <c r="J54" s="15">
        <f t="shared" si="4"/>
        <v>0</v>
      </c>
      <c r="K54" s="15">
        <f t="shared" si="4"/>
        <v>0</v>
      </c>
      <c r="L54" s="15"/>
      <c r="M54" s="4">
        <v>151047.44</v>
      </c>
      <c r="N54" s="4">
        <v>0</v>
      </c>
      <c r="O54" s="4">
        <v>0</v>
      </c>
      <c r="P54" s="15"/>
      <c r="Q54" s="15">
        <v>0</v>
      </c>
      <c r="R54" s="15">
        <v>0</v>
      </c>
      <c r="S54" s="4">
        <v>0</v>
      </c>
      <c r="T54" s="15"/>
    </row>
    <row r="55" spans="1:20" ht="14.25">
      <c r="A55" s="35">
        <f t="shared" si="1"/>
        <v>39</v>
      </c>
      <c r="B55" s="20" t="s">
        <v>492</v>
      </c>
      <c r="C55" s="15">
        <f>SUM(M55:O55)</f>
        <v>503491.49</v>
      </c>
      <c r="D55" s="15">
        <f>SUM(Q55:S55)</f>
        <v>0</v>
      </c>
      <c r="E55" s="15"/>
      <c r="F55" s="15"/>
      <c r="G55" s="15">
        <f>ROUND(SUM(C55:F55)/2,0)</f>
        <v>251746</v>
      </c>
      <c r="H55" s="15"/>
      <c r="I55" s="15">
        <f t="shared" si="4"/>
        <v>251745.745</v>
      </c>
      <c r="J55" s="15">
        <f t="shared" si="4"/>
        <v>0</v>
      </c>
      <c r="K55" s="15">
        <f t="shared" si="4"/>
        <v>0</v>
      </c>
      <c r="L55" s="15"/>
      <c r="M55" s="4">
        <v>503491.49</v>
      </c>
      <c r="N55" s="4">
        <v>0</v>
      </c>
      <c r="O55" s="4">
        <v>0</v>
      </c>
      <c r="P55" s="15"/>
      <c r="Q55" s="15">
        <v>0</v>
      </c>
      <c r="R55" s="15">
        <v>0</v>
      </c>
      <c r="S55" s="4">
        <v>0</v>
      </c>
      <c r="T55" s="15"/>
    </row>
    <row r="56" spans="1:20" ht="14.25">
      <c r="A56" s="35">
        <f t="shared" si="1"/>
        <v>40</v>
      </c>
      <c r="B56" s="20" t="s">
        <v>437</v>
      </c>
      <c r="C56" s="15">
        <f>SUM(M56:O56)</f>
        <v>0</v>
      </c>
      <c r="D56" s="15">
        <f>SUM(Q56:S56)</f>
        <v>-13943</v>
      </c>
      <c r="E56" s="15"/>
      <c r="F56" s="15"/>
      <c r="G56" s="15">
        <f>ROUND(SUM(C56:F56)/2,0)</f>
        <v>-6972</v>
      </c>
      <c r="H56" s="15"/>
      <c r="I56" s="15">
        <f t="shared" si="4"/>
        <v>-6971.5</v>
      </c>
      <c r="J56" s="15">
        <f t="shared" si="4"/>
        <v>0</v>
      </c>
      <c r="K56" s="15">
        <f t="shared" si="4"/>
        <v>0</v>
      </c>
      <c r="L56" s="15"/>
      <c r="M56" s="4">
        <v>0</v>
      </c>
      <c r="N56" s="4">
        <v>0</v>
      </c>
      <c r="O56" s="4">
        <v>0</v>
      </c>
      <c r="P56" s="15"/>
      <c r="Q56" s="15">
        <v>-13943</v>
      </c>
      <c r="R56" s="15">
        <v>0</v>
      </c>
      <c r="S56" s="4">
        <v>0</v>
      </c>
      <c r="T56" s="15"/>
    </row>
    <row r="57" spans="1:20" ht="14.25">
      <c r="A57" s="35">
        <f t="shared" si="1"/>
        <v>41</v>
      </c>
      <c r="B57" s="20" t="s">
        <v>395</v>
      </c>
      <c r="C57" s="15">
        <f t="shared" si="2"/>
        <v>1393200.28</v>
      </c>
      <c r="D57" s="15">
        <f t="shared" si="3"/>
        <v>1140444.52</v>
      </c>
      <c r="E57" s="15"/>
      <c r="F57" s="15"/>
      <c r="G57" s="15">
        <f t="shared" si="0"/>
        <v>1266822</v>
      </c>
      <c r="H57" s="15"/>
      <c r="I57" s="15">
        <f t="shared" si="4"/>
        <v>1266822.3900000001</v>
      </c>
      <c r="J57" s="15">
        <f t="shared" si="4"/>
        <v>0.01</v>
      </c>
      <c r="K57" s="15">
        <f t="shared" si="4"/>
        <v>0</v>
      </c>
      <c r="L57" s="15"/>
      <c r="M57" s="15">
        <v>1393200.27</v>
      </c>
      <c r="N57" s="15">
        <v>0.01</v>
      </c>
      <c r="O57" s="4">
        <v>0</v>
      </c>
      <c r="P57" s="15"/>
      <c r="Q57" s="15">
        <v>1140444.51</v>
      </c>
      <c r="R57" s="15">
        <v>0.01</v>
      </c>
      <c r="S57" s="15">
        <v>0</v>
      </c>
      <c r="T57" s="15"/>
    </row>
    <row r="58" spans="1:20" ht="14.25">
      <c r="A58" s="35">
        <f t="shared" si="1"/>
        <v>42</v>
      </c>
      <c r="B58" s="20" t="s">
        <v>164</v>
      </c>
      <c r="C58" s="15">
        <f t="shared" si="2"/>
        <v>31365.99</v>
      </c>
      <c r="D58" s="15">
        <f t="shared" si="3"/>
        <v>36110.52</v>
      </c>
      <c r="E58" s="15"/>
      <c r="F58" s="15"/>
      <c r="G58" s="15">
        <f t="shared" si="0"/>
        <v>33738</v>
      </c>
      <c r="H58" s="15"/>
      <c r="I58" s="15">
        <f t="shared" si="4"/>
        <v>0</v>
      </c>
      <c r="J58" s="15">
        <f t="shared" si="4"/>
        <v>33738.255</v>
      </c>
      <c r="K58" s="15">
        <f t="shared" si="4"/>
        <v>0</v>
      </c>
      <c r="L58" s="15"/>
      <c r="M58" s="4">
        <v>0</v>
      </c>
      <c r="N58" s="15">
        <v>31365.99</v>
      </c>
      <c r="O58" s="4">
        <v>0</v>
      </c>
      <c r="P58" s="15"/>
      <c r="Q58" s="15">
        <v>0</v>
      </c>
      <c r="R58" s="15">
        <v>36110.52</v>
      </c>
      <c r="S58" s="15">
        <v>0</v>
      </c>
      <c r="T58" s="15"/>
    </row>
    <row r="59" spans="1:20" ht="14.25">
      <c r="A59" s="35">
        <f t="shared" si="1"/>
        <v>43</v>
      </c>
      <c r="B59" s="15" t="s">
        <v>172</v>
      </c>
      <c r="C59" s="15">
        <f t="shared" si="2"/>
        <v>31655.92</v>
      </c>
      <c r="D59" s="15">
        <f t="shared" si="3"/>
        <v>31789.67</v>
      </c>
      <c r="E59" s="15"/>
      <c r="F59" s="15"/>
      <c r="G59" s="15">
        <f t="shared" si="0"/>
        <v>31723</v>
      </c>
      <c r="H59" s="15"/>
      <c r="I59" s="15">
        <f t="shared" si="4"/>
        <v>0</v>
      </c>
      <c r="J59" s="15">
        <f t="shared" si="4"/>
        <v>0</v>
      </c>
      <c r="K59" s="15">
        <f t="shared" si="4"/>
        <v>31722.795</v>
      </c>
      <c r="L59" s="15"/>
      <c r="M59" s="4">
        <v>0</v>
      </c>
      <c r="N59" s="4">
        <v>0</v>
      </c>
      <c r="O59" s="15">
        <v>31655.92</v>
      </c>
      <c r="P59" s="15"/>
      <c r="Q59" s="15">
        <v>0</v>
      </c>
      <c r="R59" s="15">
        <v>0</v>
      </c>
      <c r="S59" s="15">
        <v>31789.67</v>
      </c>
      <c r="T59" s="15"/>
    </row>
    <row r="60" spans="1:20" ht="14.25">
      <c r="A60" s="35">
        <f t="shared" si="1"/>
        <v>44</v>
      </c>
      <c r="B60" s="15" t="s">
        <v>569</v>
      </c>
      <c r="C60" s="15">
        <f>SUM(M60:O60)</f>
        <v>305500.17</v>
      </c>
      <c r="D60" s="15">
        <f>SUM(Q60:S60)</f>
        <v>611000.82</v>
      </c>
      <c r="E60" s="15"/>
      <c r="F60" s="15"/>
      <c r="G60" s="15">
        <f>ROUND(SUM(C60:F60)/2,0)</f>
        <v>458250</v>
      </c>
      <c r="H60" s="15"/>
      <c r="I60" s="15">
        <f>(+M60+Q60)/2</f>
        <v>458250.495</v>
      </c>
      <c r="J60" s="15">
        <f>(+N60+R60)/2</f>
        <v>0</v>
      </c>
      <c r="K60" s="15">
        <f>(+O60+S60)/2</f>
        <v>0</v>
      </c>
      <c r="L60" s="15"/>
      <c r="M60" s="4">
        <v>305500.17</v>
      </c>
      <c r="N60" s="4">
        <v>0</v>
      </c>
      <c r="O60" s="15">
        <v>0</v>
      </c>
      <c r="P60" s="15"/>
      <c r="Q60" s="15">
        <v>611000.82</v>
      </c>
      <c r="R60" s="15">
        <v>0</v>
      </c>
      <c r="S60" s="15">
        <v>0</v>
      </c>
      <c r="T60" s="15"/>
    </row>
    <row r="61" spans="1:20" ht="14.25">
      <c r="A61" s="35">
        <f t="shared" si="1"/>
        <v>45</v>
      </c>
      <c r="B61" s="15" t="s">
        <v>175</v>
      </c>
      <c r="C61" s="15">
        <f t="shared" si="2"/>
        <v>-31027.7</v>
      </c>
      <c r="D61" s="15">
        <f t="shared" si="3"/>
        <v>-31695.149999999998</v>
      </c>
      <c r="E61" s="15"/>
      <c r="F61" s="15"/>
      <c r="G61" s="15">
        <f t="shared" si="0"/>
        <v>-31361</v>
      </c>
      <c r="H61" s="15"/>
      <c r="I61" s="15">
        <f t="shared" si="4"/>
        <v>67</v>
      </c>
      <c r="J61" s="15">
        <f t="shared" si="4"/>
        <v>6.849999999999998</v>
      </c>
      <c r="K61" s="15">
        <f t="shared" si="4"/>
        <v>-31435.275</v>
      </c>
      <c r="L61" s="15"/>
      <c r="M61" s="15">
        <v>25</v>
      </c>
      <c r="N61" s="15">
        <v>37.3</v>
      </c>
      <c r="O61" s="15">
        <v>-31090</v>
      </c>
      <c r="P61" s="15"/>
      <c r="Q61" s="15">
        <v>109</v>
      </c>
      <c r="R61" s="15">
        <v>-23.6</v>
      </c>
      <c r="S61" s="15">
        <v>-31780.55</v>
      </c>
      <c r="T61" s="15"/>
    </row>
    <row r="62" spans="1:20" ht="14.25">
      <c r="A62" s="35">
        <f t="shared" si="1"/>
        <v>46</v>
      </c>
      <c r="B62" s="15" t="s">
        <v>177</v>
      </c>
      <c r="C62" s="15">
        <f t="shared" si="2"/>
        <v>-987793.76</v>
      </c>
      <c r="D62" s="15">
        <f t="shared" si="3"/>
        <v>264069.16000000003</v>
      </c>
      <c r="E62" s="15"/>
      <c r="F62" s="15"/>
      <c r="G62" s="15">
        <f t="shared" si="0"/>
        <v>-361862</v>
      </c>
      <c r="H62" s="15"/>
      <c r="I62" s="15">
        <f t="shared" si="4"/>
        <v>155587.92500000002</v>
      </c>
      <c r="J62" s="15">
        <f t="shared" si="4"/>
        <v>-54851.19</v>
      </c>
      <c r="K62" s="15">
        <f t="shared" si="4"/>
        <v>-462599.03500000003</v>
      </c>
      <c r="L62" s="15"/>
      <c r="M62" s="15">
        <v>-102696.32</v>
      </c>
      <c r="N62" s="15">
        <v>-94367.27</v>
      </c>
      <c r="O62" s="15">
        <v>-790730.17</v>
      </c>
      <c r="P62" s="15"/>
      <c r="Q62" s="15">
        <f>-150306.83+564179</f>
        <v>413872.17000000004</v>
      </c>
      <c r="R62" s="15">
        <v>-15335.11</v>
      </c>
      <c r="S62" s="15">
        <v>-134467.9</v>
      </c>
      <c r="T62" s="15"/>
    </row>
    <row r="63" spans="1:20" ht="14.25">
      <c r="A63" s="35">
        <f t="shared" si="1"/>
        <v>47</v>
      </c>
      <c r="B63" s="20" t="s">
        <v>396</v>
      </c>
      <c r="C63" s="15">
        <f t="shared" si="2"/>
        <v>241912.70000000007</v>
      </c>
      <c r="D63" s="15">
        <f t="shared" si="3"/>
        <v>1853852.7000000002</v>
      </c>
      <c r="E63" s="15"/>
      <c r="F63" s="15"/>
      <c r="G63" s="15">
        <f t="shared" si="0"/>
        <v>1047883</v>
      </c>
      <c r="H63" s="15"/>
      <c r="I63" s="15">
        <f t="shared" si="4"/>
        <v>-90735.19999999995</v>
      </c>
      <c r="J63" s="15">
        <f t="shared" si="4"/>
        <v>110629.75</v>
      </c>
      <c r="K63" s="15">
        <f t="shared" si="4"/>
        <v>1027988.15</v>
      </c>
      <c r="L63" s="15"/>
      <c r="M63" s="15">
        <v>-896705.2</v>
      </c>
      <c r="N63" s="15">
        <v>110629.75</v>
      </c>
      <c r="O63" s="15">
        <v>1027988.15</v>
      </c>
      <c r="P63" s="15"/>
      <c r="Q63" s="15">
        <v>715234.8</v>
      </c>
      <c r="R63" s="15">
        <v>110629.75</v>
      </c>
      <c r="S63" s="15">
        <v>1027988.15</v>
      </c>
      <c r="T63" s="15"/>
    </row>
    <row r="64" spans="1:20" ht="14.25">
      <c r="A64" s="35">
        <f t="shared" si="1"/>
        <v>48</v>
      </c>
      <c r="B64" s="20" t="s">
        <v>179</v>
      </c>
      <c r="C64" s="15">
        <f t="shared" si="2"/>
        <v>-3219295.01</v>
      </c>
      <c r="D64" s="15">
        <f t="shared" si="3"/>
        <v>-3370825.04</v>
      </c>
      <c r="E64" s="15"/>
      <c r="F64" s="15"/>
      <c r="G64" s="15">
        <f t="shared" si="0"/>
        <v>-3295060</v>
      </c>
      <c r="H64" s="15"/>
      <c r="I64" s="15">
        <f t="shared" si="4"/>
        <v>-1770120.04</v>
      </c>
      <c r="J64" s="15">
        <f t="shared" si="4"/>
        <v>-122079.20999999999</v>
      </c>
      <c r="K64" s="15">
        <f t="shared" si="4"/>
        <v>-1402860.775</v>
      </c>
      <c r="L64" s="15"/>
      <c r="M64" s="15">
        <v>-1974352.25</v>
      </c>
      <c r="N64" s="15">
        <v>-73719.93</v>
      </c>
      <c r="O64" s="15">
        <v>-1171222.83</v>
      </c>
      <c r="P64" s="15"/>
      <c r="Q64" s="15">
        <f>-981619.83-1168536+584268</f>
        <v>-1565887.83</v>
      </c>
      <c r="R64" s="15">
        <v>-170438.49</v>
      </c>
      <c r="S64" s="15">
        <v>-1634498.72</v>
      </c>
      <c r="T64" s="15"/>
    </row>
    <row r="65" spans="1:20" ht="14.25">
      <c r="A65" s="35">
        <f t="shared" si="1"/>
        <v>49</v>
      </c>
      <c r="B65" s="20" t="s">
        <v>397</v>
      </c>
      <c r="C65" s="15">
        <f t="shared" si="2"/>
        <v>2348238.62</v>
      </c>
      <c r="D65" s="15">
        <f t="shared" si="3"/>
        <v>1994583.65</v>
      </c>
      <c r="E65" s="15"/>
      <c r="F65" s="15"/>
      <c r="G65" s="15">
        <f t="shared" si="0"/>
        <v>2171411</v>
      </c>
      <c r="H65" s="15"/>
      <c r="I65" s="15">
        <f t="shared" si="4"/>
        <v>1282286.89</v>
      </c>
      <c r="J65" s="15">
        <f t="shared" si="4"/>
        <v>33247.285</v>
      </c>
      <c r="K65" s="15">
        <f t="shared" si="4"/>
        <v>855876.96</v>
      </c>
      <c r="L65" s="15"/>
      <c r="M65" s="15">
        <v>1518457.71</v>
      </c>
      <c r="N65" s="15">
        <v>31318.77</v>
      </c>
      <c r="O65" s="15">
        <v>798462.14</v>
      </c>
      <c r="P65" s="15"/>
      <c r="Q65" s="15">
        <f>636950.07+409166</f>
        <v>1046116.07</v>
      </c>
      <c r="R65" s="15">
        <v>35175.8</v>
      </c>
      <c r="S65" s="15">
        <v>913291.78</v>
      </c>
      <c r="T65" s="20"/>
    </row>
    <row r="66" spans="1:20" ht="14.25">
      <c r="A66" s="35">
        <f t="shared" si="1"/>
        <v>50</v>
      </c>
      <c r="B66" s="20" t="s">
        <v>398</v>
      </c>
      <c r="C66" s="15">
        <f t="shared" si="2"/>
        <v>22994742.33</v>
      </c>
      <c r="D66" s="15">
        <f t="shared" si="3"/>
        <v>7184115.67</v>
      </c>
      <c r="E66" s="15"/>
      <c r="F66" s="15"/>
      <c r="G66" s="15">
        <f t="shared" si="0"/>
        <v>15089429</v>
      </c>
      <c r="H66" s="15"/>
      <c r="I66" s="15">
        <f t="shared" si="4"/>
        <v>15067469.11</v>
      </c>
      <c r="J66" s="15">
        <f t="shared" si="4"/>
        <v>0</v>
      </c>
      <c r="K66" s="15">
        <f t="shared" si="4"/>
        <v>21959.89</v>
      </c>
      <c r="L66" s="15"/>
      <c r="M66" s="15">
        <v>22972152.77</v>
      </c>
      <c r="N66" s="4">
        <v>0</v>
      </c>
      <c r="O66" s="15">
        <v>22589.56</v>
      </c>
      <c r="P66" s="15"/>
      <c r="Q66" s="15">
        <f>1415272.45+5747513</f>
        <v>7162785.45</v>
      </c>
      <c r="R66" s="15">
        <v>0</v>
      </c>
      <c r="S66" s="15">
        <v>21330.22</v>
      </c>
      <c r="T66" s="15"/>
    </row>
    <row r="67" spans="1:20" ht="14.25">
      <c r="A67" s="35">
        <f t="shared" si="1"/>
        <v>51</v>
      </c>
      <c r="B67" s="20" t="s">
        <v>570</v>
      </c>
      <c r="C67" s="15">
        <f>SUM(M67:O67)</f>
        <v>-580407</v>
      </c>
      <c r="D67" s="15">
        <f>SUM(Q67:S67)</f>
        <v>-580407</v>
      </c>
      <c r="E67" s="15"/>
      <c r="F67" s="15"/>
      <c r="G67" s="15">
        <f>ROUND(SUM(C67:F67)/2,0)</f>
        <v>-580407</v>
      </c>
      <c r="H67" s="15"/>
      <c r="I67" s="15">
        <f t="shared" si="4"/>
        <v>-580407</v>
      </c>
      <c r="J67" s="15">
        <f t="shared" si="4"/>
        <v>0</v>
      </c>
      <c r="K67" s="15">
        <f t="shared" si="4"/>
        <v>0</v>
      </c>
      <c r="L67" s="15"/>
      <c r="M67" s="15">
        <v>-580407</v>
      </c>
      <c r="N67" s="4">
        <v>0</v>
      </c>
      <c r="O67" s="15">
        <v>0</v>
      </c>
      <c r="P67" s="15"/>
      <c r="Q67" s="15">
        <v>-580407</v>
      </c>
      <c r="R67" s="15">
        <v>0</v>
      </c>
      <c r="S67" s="15">
        <v>0</v>
      </c>
      <c r="T67" s="15"/>
    </row>
    <row r="68" spans="1:20" ht="14.25">
      <c r="A68" s="35">
        <f t="shared" si="1"/>
        <v>52</v>
      </c>
      <c r="B68" s="20" t="s">
        <v>543</v>
      </c>
      <c r="C68" s="15">
        <f>SUM(M68:O68)</f>
        <v>24975.42</v>
      </c>
      <c r="D68" s="15">
        <f>SUM(Q68:S68)</f>
        <v>24975.42</v>
      </c>
      <c r="E68" s="15"/>
      <c r="F68" s="15"/>
      <c r="G68" s="15">
        <f>ROUND(SUM(C68:F68)/2,0)</f>
        <v>24975</v>
      </c>
      <c r="H68" s="15"/>
      <c r="I68" s="15">
        <f t="shared" si="4"/>
        <v>24975.42</v>
      </c>
      <c r="J68" s="15">
        <f t="shared" si="4"/>
        <v>0</v>
      </c>
      <c r="K68" s="15">
        <f t="shared" si="4"/>
        <v>0</v>
      </c>
      <c r="L68" s="15"/>
      <c r="M68" s="15">
        <v>24975.42</v>
      </c>
      <c r="N68" s="4">
        <v>0</v>
      </c>
      <c r="O68" s="15">
        <v>0</v>
      </c>
      <c r="P68" s="15"/>
      <c r="Q68" s="15">
        <v>24975.42</v>
      </c>
      <c r="R68" s="15">
        <v>0</v>
      </c>
      <c r="S68" s="15">
        <v>0</v>
      </c>
      <c r="T68" s="15"/>
    </row>
    <row r="69" spans="1:20" ht="14.25">
      <c r="A69" s="35">
        <f t="shared" si="1"/>
        <v>53</v>
      </c>
      <c r="B69" s="20" t="s">
        <v>399</v>
      </c>
      <c r="C69" s="15">
        <f t="shared" si="2"/>
        <v>0</v>
      </c>
      <c r="D69" s="15">
        <f t="shared" si="3"/>
        <v>-30309.3</v>
      </c>
      <c r="E69" s="15"/>
      <c r="F69" s="15"/>
      <c r="G69" s="15">
        <f t="shared" si="0"/>
        <v>-15155</v>
      </c>
      <c r="H69" s="15"/>
      <c r="I69" s="15">
        <f t="shared" si="4"/>
        <v>-6913.9</v>
      </c>
      <c r="J69" s="15">
        <f t="shared" si="4"/>
        <v>-371.525</v>
      </c>
      <c r="K69" s="15">
        <f t="shared" si="4"/>
        <v>-7869.225</v>
      </c>
      <c r="L69" s="15"/>
      <c r="M69" s="15">
        <v>0</v>
      </c>
      <c r="N69" s="15">
        <v>0</v>
      </c>
      <c r="O69" s="15">
        <v>0</v>
      </c>
      <c r="P69" s="15"/>
      <c r="Q69" s="15">
        <v>-13827.8</v>
      </c>
      <c r="R69" s="15">
        <v>-743.05</v>
      </c>
      <c r="S69" s="15">
        <v>-15738.45</v>
      </c>
      <c r="T69" s="15"/>
    </row>
    <row r="70" spans="1:20" ht="14.25">
      <c r="A70" s="35">
        <f t="shared" si="1"/>
        <v>54</v>
      </c>
      <c r="B70" s="20" t="s">
        <v>186</v>
      </c>
      <c r="C70" s="15">
        <f t="shared" si="2"/>
        <v>0</v>
      </c>
      <c r="D70" s="15">
        <f t="shared" si="3"/>
        <v>0</v>
      </c>
      <c r="E70" s="15"/>
      <c r="F70" s="15"/>
      <c r="G70" s="15">
        <f t="shared" si="0"/>
        <v>0</v>
      </c>
      <c r="H70" s="15"/>
      <c r="I70" s="15">
        <f t="shared" si="4"/>
        <v>0</v>
      </c>
      <c r="J70" s="15">
        <f t="shared" si="4"/>
        <v>0</v>
      </c>
      <c r="K70" s="15">
        <f t="shared" si="4"/>
        <v>0</v>
      </c>
      <c r="L70" s="15"/>
      <c r="M70" s="4">
        <v>0</v>
      </c>
      <c r="O70" s="4">
        <v>0</v>
      </c>
      <c r="P70" s="15"/>
      <c r="Q70" s="15">
        <v>0</v>
      </c>
      <c r="R70" s="15">
        <v>0</v>
      </c>
      <c r="S70" s="15">
        <v>0</v>
      </c>
      <c r="T70" s="15"/>
    </row>
    <row r="71" spans="1:20" ht="14.25">
      <c r="A71" s="35">
        <f t="shared" si="1"/>
        <v>55</v>
      </c>
      <c r="B71" s="20" t="s">
        <v>400</v>
      </c>
      <c r="C71" s="15">
        <f t="shared" si="2"/>
        <v>0</v>
      </c>
      <c r="D71" s="15">
        <f t="shared" si="3"/>
        <v>158515</v>
      </c>
      <c r="E71" s="15"/>
      <c r="F71" s="15"/>
      <c r="G71" s="15">
        <f t="shared" si="0"/>
        <v>79258</v>
      </c>
      <c r="H71" s="15"/>
      <c r="I71" s="15">
        <f t="shared" si="4"/>
        <v>40110</v>
      </c>
      <c r="J71" s="15">
        <f t="shared" si="4"/>
        <v>5495</v>
      </c>
      <c r="K71" s="15">
        <f t="shared" si="4"/>
        <v>33652.5</v>
      </c>
      <c r="L71" s="15"/>
      <c r="M71" s="4">
        <v>0</v>
      </c>
      <c r="N71" s="4">
        <v>0</v>
      </c>
      <c r="O71" s="4">
        <v>0</v>
      </c>
      <c r="P71" s="15"/>
      <c r="Q71" s="15">
        <v>80220</v>
      </c>
      <c r="R71" s="15">
        <v>10990</v>
      </c>
      <c r="S71" s="15">
        <v>67305</v>
      </c>
      <c r="T71" s="15"/>
    </row>
    <row r="72" spans="1:20" ht="14.25">
      <c r="A72" s="35">
        <f t="shared" si="1"/>
        <v>56</v>
      </c>
      <c r="B72" s="20" t="s">
        <v>401</v>
      </c>
      <c r="C72" s="15">
        <f t="shared" si="2"/>
        <v>1.0799999999726424</v>
      </c>
      <c r="D72" s="15">
        <f t="shared" si="3"/>
        <v>-2332.7200000000157</v>
      </c>
      <c r="E72" s="15"/>
      <c r="F72" s="15"/>
      <c r="G72" s="15">
        <f t="shared" si="0"/>
        <v>-1166</v>
      </c>
      <c r="H72" s="15"/>
      <c r="I72" s="15">
        <f t="shared" si="4"/>
        <v>-996.7150000000111</v>
      </c>
      <c r="J72" s="15">
        <f t="shared" si="4"/>
        <v>-6.9649999999965075</v>
      </c>
      <c r="K72" s="15">
        <f t="shared" si="4"/>
        <v>-162.14000000001397</v>
      </c>
      <c r="L72" s="15"/>
      <c r="M72" s="15">
        <f>-154972.39+154973</f>
        <v>0.6099999999860302</v>
      </c>
      <c r="N72" s="15">
        <f>-103548.14+103548</f>
        <v>-0.13999999999941792</v>
      </c>
      <c r="O72" s="15">
        <f>-154972.39+154973</f>
        <v>0.6099999999860302</v>
      </c>
      <c r="P72" s="15"/>
      <c r="Q72" s="15">
        <f>-156967.04+154973</f>
        <v>-1994.0400000000081</v>
      </c>
      <c r="R72" s="15">
        <f>-103561.79+103548</f>
        <v>-13.789999999993597</v>
      </c>
      <c r="S72" s="15">
        <f>-155297.89+154973</f>
        <v>-324.89000000001397</v>
      </c>
      <c r="T72" s="15"/>
    </row>
    <row r="73" spans="1:20" ht="14.25">
      <c r="A73" s="35">
        <f t="shared" si="1"/>
        <v>57</v>
      </c>
      <c r="B73" s="20" t="s">
        <v>402</v>
      </c>
      <c r="C73" s="15">
        <f t="shared" si="2"/>
        <v>0</v>
      </c>
      <c r="D73" s="15">
        <f t="shared" si="3"/>
        <v>28229.6</v>
      </c>
      <c r="E73" s="15"/>
      <c r="F73" s="15"/>
      <c r="G73" s="15">
        <f t="shared" si="0"/>
        <v>14115</v>
      </c>
      <c r="H73" s="15"/>
      <c r="I73" s="15">
        <f t="shared" si="4"/>
        <v>6817.475</v>
      </c>
      <c r="J73" s="15">
        <f t="shared" si="4"/>
        <v>330.575</v>
      </c>
      <c r="K73" s="15">
        <f t="shared" si="4"/>
        <v>6966.75</v>
      </c>
      <c r="L73" s="15"/>
      <c r="M73" s="15">
        <v>0</v>
      </c>
      <c r="N73" s="15">
        <v>0</v>
      </c>
      <c r="O73" s="15">
        <v>0</v>
      </c>
      <c r="P73" s="15"/>
      <c r="Q73" s="15">
        <v>13634.95</v>
      </c>
      <c r="R73" s="15">
        <v>661.15</v>
      </c>
      <c r="S73" s="15">
        <v>13933.5</v>
      </c>
      <c r="T73" s="15"/>
    </row>
    <row r="74" spans="1:20" ht="14.25">
      <c r="A74" s="35">
        <f t="shared" si="1"/>
        <v>58</v>
      </c>
      <c r="B74" s="20" t="s">
        <v>112</v>
      </c>
      <c r="C74" s="15">
        <f t="shared" si="2"/>
        <v>3672491.9499999997</v>
      </c>
      <c r="D74" s="15">
        <f t="shared" si="3"/>
        <v>3886524.05</v>
      </c>
      <c r="E74" s="15"/>
      <c r="F74" s="15"/>
      <c r="G74" s="15">
        <f t="shared" si="0"/>
        <v>3779508</v>
      </c>
      <c r="H74" s="15"/>
      <c r="I74" s="15">
        <f t="shared" si="4"/>
        <v>3779507.95</v>
      </c>
      <c r="J74" s="15">
        <f t="shared" si="4"/>
        <v>0</v>
      </c>
      <c r="K74" s="15">
        <f t="shared" si="4"/>
        <v>0.05</v>
      </c>
      <c r="L74" s="15"/>
      <c r="M74" s="4">
        <f>2019139.15+1653352.75</f>
        <v>3672491.9</v>
      </c>
      <c r="O74" s="15">
        <v>0.05</v>
      </c>
      <c r="P74" s="15"/>
      <c r="Q74" s="15">
        <f>2233171+1653353</f>
        <v>3886524</v>
      </c>
      <c r="R74" s="15">
        <v>0</v>
      </c>
      <c r="S74" s="15">
        <v>0.05</v>
      </c>
      <c r="T74" s="15"/>
    </row>
    <row r="75" spans="1:20" ht="14.25">
      <c r="A75" s="35">
        <f t="shared" si="1"/>
        <v>59</v>
      </c>
      <c r="B75" s="20" t="s">
        <v>192</v>
      </c>
      <c r="C75" s="15">
        <f t="shared" si="2"/>
        <v>58024.75</v>
      </c>
      <c r="D75" s="15">
        <f t="shared" si="3"/>
        <v>58024.75</v>
      </c>
      <c r="E75" s="15"/>
      <c r="F75" s="15"/>
      <c r="G75" s="15">
        <f t="shared" si="0"/>
        <v>58025</v>
      </c>
      <c r="H75" s="15"/>
      <c r="I75" s="15">
        <f t="shared" si="4"/>
        <v>0</v>
      </c>
      <c r="J75" s="15">
        <f t="shared" si="4"/>
        <v>0</v>
      </c>
      <c r="K75" s="15">
        <f t="shared" si="4"/>
        <v>58024.75</v>
      </c>
      <c r="L75" s="15"/>
      <c r="M75" s="4">
        <v>0</v>
      </c>
      <c r="O75" s="15">
        <v>58024.75</v>
      </c>
      <c r="P75" s="15"/>
      <c r="Q75" s="15">
        <v>0</v>
      </c>
      <c r="R75" s="15">
        <v>0</v>
      </c>
      <c r="S75" s="15">
        <v>58024.75</v>
      </c>
      <c r="T75" s="15"/>
    </row>
    <row r="76" spans="1:20" ht="14.25">
      <c r="A76" s="35">
        <f t="shared" si="1"/>
        <v>60</v>
      </c>
      <c r="B76" s="20" t="s">
        <v>195</v>
      </c>
      <c r="C76" s="15">
        <f t="shared" si="2"/>
        <v>135066.49</v>
      </c>
      <c r="D76" s="15">
        <f t="shared" si="3"/>
        <v>157391.24000000002</v>
      </c>
      <c r="E76" s="15"/>
      <c r="F76" s="15"/>
      <c r="G76" s="15">
        <f t="shared" si="0"/>
        <v>146229</v>
      </c>
      <c r="H76" s="15"/>
      <c r="I76" s="15">
        <f t="shared" si="4"/>
        <v>214902.745</v>
      </c>
      <c r="J76" s="15">
        <f t="shared" si="4"/>
        <v>0</v>
      </c>
      <c r="K76" s="15">
        <f t="shared" si="4"/>
        <v>-68673.88</v>
      </c>
      <c r="L76" s="15"/>
      <c r="M76" s="15">
        <v>205169.07</v>
      </c>
      <c r="N76" s="15"/>
      <c r="O76" s="15">
        <v>-70102.58</v>
      </c>
      <c r="P76" s="15"/>
      <c r="Q76" s="15">
        <v>224636.42</v>
      </c>
      <c r="R76" s="15">
        <v>0</v>
      </c>
      <c r="S76" s="15">
        <v>-67245.18</v>
      </c>
      <c r="T76" s="15"/>
    </row>
    <row r="77" spans="1:20" ht="14.25">
      <c r="A77" s="35">
        <f t="shared" si="1"/>
        <v>61</v>
      </c>
      <c r="B77" s="20" t="s">
        <v>403</v>
      </c>
      <c r="C77" s="15">
        <f t="shared" si="2"/>
        <v>14108</v>
      </c>
      <c r="D77" s="15">
        <f t="shared" si="3"/>
        <v>14108</v>
      </c>
      <c r="E77" s="15"/>
      <c r="F77" s="15"/>
      <c r="G77" s="15">
        <f t="shared" si="0"/>
        <v>14108</v>
      </c>
      <c r="H77" s="15"/>
      <c r="I77" s="15">
        <f t="shared" si="4"/>
        <v>6043</v>
      </c>
      <c r="J77" s="15">
        <f t="shared" si="4"/>
        <v>8065</v>
      </c>
      <c r="K77" s="15">
        <f t="shared" si="4"/>
        <v>0</v>
      </c>
      <c r="L77" s="15"/>
      <c r="M77" s="15">
        <v>6043</v>
      </c>
      <c r="N77" s="15">
        <v>8065</v>
      </c>
      <c r="O77" s="4">
        <v>0</v>
      </c>
      <c r="P77" s="15"/>
      <c r="Q77" s="15">
        <v>6043</v>
      </c>
      <c r="R77" s="15">
        <v>8065</v>
      </c>
      <c r="S77" s="15">
        <v>0</v>
      </c>
      <c r="T77" s="15"/>
    </row>
    <row r="78" spans="1:20" ht="14.25">
      <c r="A78" s="35">
        <f t="shared" si="1"/>
        <v>62</v>
      </c>
      <c r="B78" s="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4.25">
      <c r="A79" s="35">
        <f t="shared" si="1"/>
        <v>63</v>
      </c>
      <c r="B79" s="15" t="s">
        <v>32</v>
      </c>
      <c r="C79" s="15">
        <v>679720.47</v>
      </c>
      <c r="D79" s="15">
        <f>832199+42413</f>
        <v>874612</v>
      </c>
      <c r="E79" s="15">
        <f aca="true" t="shared" si="5" ref="E79:F86">-C79</f>
        <v>-679720.47</v>
      </c>
      <c r="F79" s="15">
        <f t="shared" si="5"/>
        <v>-874612</v>
      </c>
      <c r="G79" s="15">
        <f aca="true" t="shared" si="6" ref="G79:G86">ROUND(SUM(C79:F79)/2,0)</f>
        <v>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4.25">
      <c r="A80" s="35">
        <f t="shared" si="1"/>
        <v>64</v>
      </c>
      <c r="B80" s="15" t="s">
        <v>197</v>
      </c>
      <c r="C80" s="15">
        <v>25738125.68</v>
      </c>
      <c r="D80" s="15">
        <v>24330351</v>
      </c>
      <c r="E80" s="15">
        <f t="shared" si="5"/>
        <v>-25738125.68</v>
      </c>
      <c r="F80" s="15">
        <f t="shared" si="5"/>
        <v>-24330351</v>
      </c>
      <c r="G80" s="15">
        <f t="shared" si="6"/>
        <v>0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4.25">
      <c r="A81" s="35">
        <f t="shared" si="1"/>
        <v>65</v>
      </c>
      <c r="B81" s="15" t="s">
        <v>198</v>
      </c>
      <c r="C81" s="15">
        <v>293462.06</v>
      </c>
      <c r="D81" s="15">
        <v>325436.98</v>
      </c>
      <c r="E81" s="15">
        <f t="shared" si="5"/>
        <v>-293462.06</v>
      </c>
      <c r="F81" s="15">
        <f t="shared" si="5"/>
        <v>-325436.98</v>
      </c>
      <c r="G81" s="15">
        <f t="shared" si="6"/>
        <v>0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4.25">
      <c r="A82" s="35">
        <f aca="true" t="shared" si="7" ref="A82:A88">A81+1</f>
        <v>66</v>
      </c>
      <c r="B82" s="15" t="s">
        <v>199</v>
      </c>
      <c r="C82" s="15">
        <v>0</v>
      </c>
      <c r="D82" s="15">
        <v>20623</v>
      </c>
      <c r="E82" s="15">
        <f t="shared" si="5"/>
        <v>0</v>
      </c>
      <c r="F82" s="15">
        <f t="shared" si="5"/>
        <v>-20623</v>
      </c>
      <c r="G82" s="15">
        <f t="shared" si="6"/>
        <v>0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4.25">
      <c r="A83" s="35">
        <f t="shared" si="7"/>
        <v>67</v>
      </c>
      <c r="B83" s="20" t="s">
        <v>200</v>
      </c>
      <c r="C83" s="15">
        <v>0</v>
      </c>
      <c r="D83" s="15">
        <v>2811185.07</v>
      </c>
      <c r="E83" s="15">
        <f t="shared" si="5"/>
        <v>0</v>
      </c>
      <c r="F83" s="15">
        <f t="shared" si="5"/>
        <v>-2811185.07</v>
      </c>
      <c r="G83" s="15">
        <f t="shared" si="6"/>
        <v>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4.25">
      <c r="A84" s="35">
        <f>A81+1</f>
        <v>66</v>
      </c>
      <c r="B84" s="20" t="s">
        <v>626</v>
      </c>
      <c r="C84" s="15">
        <v>4434578.22</v>
      </c>
      <c r="D84" s="15">
        <v>0</v>
      </c>
      <c r="E84" s="15">
        <f>-C84</f>
        <v>-4434578.22</v>
      </c>
      <c r="F84" s="15">
        <f>-D84</f>
        <v>0</v>
      </c>
      <c r="G84" s="15">
        <f>ROUND(SUM(C84:F84)/2,0)</f>
        <v>0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4.25">
      <c r="A85" s="35">
        <f>A82+1</f>
        <v>67</v>
      </c>
      <c r="B85" s="20" t="s">
        <v>627</v>
      </c>
      <c r="C85" s="15">
        <v>-571397.04</v>
      </c>
      <c r="D85" s="15">
        <v>0</v>
      </c>
      <c r="E85" s="15">
        <f>-C85</f>
        <v>571397.04</v>
      </c>
      <c r="F85" s="15">
        <f>-D85</f>
        <v>0</v>
      </c>
      <c r="G85" s="15">
        <f>ROUND(SUM(C85:F85)/2,0)</f>
        <v>0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4.25">
      <c r="A86" s="35">
        <f>A83+1</f>
        <v>68</v>
      </c>
      <c r="B86" s="20" t="s">
        <v>404</v>
      </c>
      <c r="C86" s="15">
        <v>86759.04</v>
      </c>
      <c r="D86" s="15">
        <v>119293.68</v>
      </c>
      <c r="E86" s="15">
        <f t="shared" si="5"/>
        <v>-86759.04</v>
      </c>
      <c r="F86" s="15">
        <f t="shared" si="5"/>
        <v>-119293.68</v>
      </c>
      <c r="G86" s="15">
        <f t="shared" si="6"/>
        <v>0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4.25">
      <c r="A87" s="35">
        <f t="shared" si="7"/>
        <v>69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" thickBot="1">
      <c r="A88" s="35">
        <f t="shared" si="7"/>
        <v>70</v>
      </c>
      <c r="B88" s="20" t="s">
        <v>204</v>
      </c>
      <c r="C88" s="18">
        <f>SUM(C17:C87)</f>
        <v>80297443.56</v>
      </c>
      <c r="D88" s="18">
        <f>SUM(D17:D87)</f>
        <v>56347536.03000001</v>
      </c>
      <c r="E88" s="18">
        <f>SUM(E17:E87)</f>
        <v>-30661248.429999996</v>
      </c>
      <c r="F88" s="18">
        <f>SUM(F17:F87)</f>
        <v>-28481501.73</v>
      </c>
      <c r="G88" s="18">
        <f>SUM(G17:G87)</f>
        <v>38751115</v>
      </c>
      <c r="H88" s="18"/>
      <c r="I88" s="18">
        <f>SUM(I17:I87)</f>
        <v>40740646.74</v>
      </c>
      <c r="J88" s="18">
        <f>SUM(J17:J87)</f>
        <v>3458791.6200000006</v>
      </c>
      <c r="K88" s="18">
        <f>SUM(K17:K87)</f>
        <v>-5448323.6450000005</v>
      </c>
      <c r="L88" s="18"/>
      <c r="M88" s="18">
        <f>SUM(M17:M87)</f>
        <v>50645107.519999996</v>
      </c>
      <c r="N88" s="18">
        <f>SUM(N17:N87)</f>
        <v>3633619.269999999</v>
      </c>
      <c r="O88" s="18">
        <f>SUM(O17:O87)</f>
        <v>-4642531.660000001</v>
      </c>
      <c r="P88" s="15"/>
      <c r="Q88" s="18">
        <f>SUM(Q17:Q87)</f>
        <v>30836185.960000005</v>
      </c>
      <c r="R88" s="18">
        <f>SUM(R17:R87)</f>
        <v>3283963.97</v>
      </c>
      <c r="S88" s="18">
        <f>SUM(S17:S87)</f>
        <v>-6254115.63</v>
      </c>
      <c r="T88" s="15"/>
    </row>
    <row r="89" spans="1:20" ht="15" thickTop="1">
      <c r="A89" s="34"/>
      <c r="B89" s="1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5"/>
      <c r="Q89" s="19"/>
      <c r="R89" s="19"/>
      <c r="S89" s="19"/>
      <c r="T89" s="15"/>
    </row>
    <row r="90" spans="1:20" ht="14.25">
      <c r="A90" s="34"/>
      <c r="B90" s="15"/>
      <c r="C90" s="15"/>
      <c r="D90" s="3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4.25">
      <c r="A91" s="3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4.25">
      <c r="A92" s="34"/>
      <c r="B92" s="15"/>
      <c r="C92" s="20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4.25">
      <c r="A93" s="3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ht="14.25">
      <c r="C94" s="15"/>
    </row>
    <row r="95" ht="14.25">
      <c r="C95" s="15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showOutlineSymbols="0" zoomScale="87" zoomScaleNormal="87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12.7109375" defaultRowHeight="15"/>
  <cols>
    <col min="1" max="1" width="4.7109375" style="2" customWidth="1"/>
    <col min="2" max="2" width="50.57421875" style="4" customWidth="1"/>
    <col min="3" max="7" width="15.7109375" style="4" customWidth="1"/>
    <col min="8" max="8" width="2.7109375" style="4" customWidth="1"/>
    <col min="9" max="11" width="15.7109375" style="4" customWidth="1"/>
    <col min="12" max="12" width="2.7109375" style="4" customWidth="1"/>
    <col min="13" max="15" width="15.7109375" style="4" customWidth="1"/>
    <col min="16" max="16" width="2.7109375" style="4" customWidth="1"/>
    <col min="17" max="19" width="15.7109375" style="4" customWidth="1"/>
    <col min="20" max="16384" width="12.7109375" style="4" customWidth="1"/>
  </cols>
  <sheetData>
    <row r="1" spans="2:19" ht="14.25">
      <c r="B1" s="3" t="s">
        <v>405</v>
      </c>
      <c r="G1" s="5"/>
      <c r="H1" s="5"/>
      <c r="I1" s="5"/>
      <c r="J1" s="5"/>
      <c r="K1" s="5"/>
      <c r="L1" s="5"/>
      <c r="S1" s="5"/>
    </row>
    <row r="2" spans="2:19" ht="14.25">
      <c r="B2" s="3" t="s">
        <v>1</v>
      </c>
      <c r="G2" s="5"/>
      <c r="H2" s="5"/>
      <c r="I2" s="5"/>
      <c r="J2" s="5"/>
      <c r="K2" s="5"/>
      <c r="L2" s="5"/>
      <c r="S2" s="5"/>
    </row>
    <row r="3" ht="14.25">
      <c r="B3" s="3" t="s">
        <v>579</v>
      </c>
    </row>
    <row r="4" spans="7:12" ht="14.25">
      <c r="G4" s="6" t="s">
        <v>2</v>
      </c>
      <c r="H4" s="6"/>
      <c r="I4" s="6"/>
      <c r="J4" s="6"/>
      <c r="K4" s="6"/>
      <c r="L4" s="6"/>
    </row>
    <row r="5" ht="14.25">
      <c r="B5" s="7"/>
    </row>
    <row r="8" spans="2:19" ht="14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/>
      <c r="I8" s="8" t="s">
        <v>9</v>
      </c>
      <c r="J8" s="8" t="s">
        <v>10</v>
      </c>
      <c r="K8" s="8" t="s">
        <v>11</v>
      </c>
      <c r="L8" s="8"/>
      <c r="M8" s="8" t="s">
        <v>12</v>
      </c>
      <c r="N8" s="8" t="s">
        <v>13</v>
      </c>
      <c r="O8" s="8" t="s">
        <v>14</v>
      </c>
      <c r="Q8" s="8" t="s">
        <v>15</v>
      </c>
      <c r="R8" s="8" t="s">
        <v>16</v>
      </c>
      <c r="S8" s="8" t="s">
        <v>17</v>
      </c>
    </row>
    <row r="10" spans="3:19" ht="14.25">
      <c r="C10" s="9" t="s">
        <v>18</v>
      </c>
      <c r="D10" s="9"/>
      <c r="E10" s="10" t="s">
        <v>19</v>
      </c>
      <c r="F10" s="9"/>
      <c r="G10" s="11" t="s">
        <v>20</v>
      </c>
      <c r="H10" s="11"/>
      <c r="I10" s="12" t="s">
        <v>21</v>
      </c>
      <c r="J10" s="9"/>
      <c r="K10" s="9"/>
      <c r="L10" s="11"/>
      <c r="M10" s="12" t="s">
        <v>530</v>
      </c>
      <c r="N10" s="9"/>
      <c r="O10" s="9"/>
      <c r="Q10" s="32" t="s">
        <v>580</v>
      </c>
      <c r="R10" s="9"/>
      <c r="S10" s="9"/>
    </row>
    <row r="11" spans="3:19" ht="14.25">
      <c r="C11" s="13"/>
      <c r="D11" s="13"/>
      <c r="G11" s="11" t="s">
        <v>22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4.25"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24</v>
      </c>
      <c r="H12" s="11"/>
      <c r="L12" s="11"/>
    </row>
    <row r="13" spans="2:19" ht="14.25">
      <c r="B13" s="8" t="s">
        <v>25</v>
      </c>
      <c r="C13" s="8" t="s">
        <v>531</v>
      </c>
      <c r="D13" s="8" t="s">
        <v>581</v>
      </c>
      <c r="E13" s="8" t="str">
        <f>C13</f>
        <v>OF 12-31-13</v>
      </c>
      <c r="F13" s="8" t="str">
        <f>D13</f>
        <v>OF 12-31-14</v>
      </c>
      <c r="G13" s="8" t="s">
        <v>26</v>
      </c>
      <c r="H13" s="8"/>
      <c r="I13" s="8" t="s">
        <v>27</v>
      </c>
      <c r="J13" s="8" t="s">
        <v>28</v>
      </c>
      <c r="K13" s="8" t="s">
        <v>29</v>
      </c>
      <c r="L13" s="8"/>
      <c r="M13" s="8" t="s">
        <v>27</v>
      </c>
      <c r="N13" s="8" t="s">
        <v>28</v>
      </c>
      <c r="O13" s="8" t="s">
        <v>29</v>
      </c>
      <c r="Q13" s="8" t="s">
        <v>27</v>
      </c>
      <c r="R13" s="8" t="s">
        <v>28</v>
      </c>
      <c r="S13" s="8" t="s">
        <v>29</v>
      </c>
    </row>
    <row r="15" spans="2:19" ht="14.25">
      <c r="B15" s="14" t="s">
        <v>30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9" ht="14.25">
      <c r="B16" s="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4.25">
      <c r="A17" s="17">
        <v>1</v>
      </c>
      <c r="B17" s="5" t="s">
        <v>67</v>
      </c>
      <c r="C17" s="15">
        <f>SUM(M17:O17)</f>
        <v>0</v>
      </c>
      <c r="D17" s="15">
        <f>SUM(Q17:S17)</f>
        <v>0</v>
      </c>
      <c r="E17" s="15"/>
      <c r="F17" s="15"/>
      <c r="G17" s="15">
        <f>ROUND(SUM(C17:F17)/2,0)</f>
        <v>0</v>
      </c>
      <c r="H17" s="15"/>
      <c r="I17" s="15">
        <f aca="true" t="shared" si="0" ref="I17:K18">(M17+Q17)/2</f>
        <v>0</v>
      </c>
      <c r="J17" s="15">
        <f t="shared" si="0"/>
        <v>0</v>
      </c>
      <c r="K17" s="15">
        <f t="shared" si="0"/>
        <v>0</v>
      </c>
      <c r="L17" s="15"/>
      <c r="M17" s="81">
        <v>0</v>
      </c>
      <c r="N17" s="81">
        <v>0</v>
      </c>
      <c r="O17" s="81">
        <v>0</v>
      </c>
      <c r="P17" s="15"/>
      <c r="Q17" s="81">
        <v>0</v>
      </c>
      <c r="R17" s="81">
        <v>0</v>
      </c>
      <c r="S17" s="81">
        <v>0</v>
      </c>
    </row>
    <row r="18" spans="1:19" ht="14.25">
      <c r="A18" s="17">
        <f aca="true" t="shared" si="1" ref="A18:A78">A17+1</f>
        <v>2</v>
      </c>
      <c r="B18" s="5"/>
      <c r="C18" s="15">
        <f>SUM(M18:O18)</f>
        <v>0</v>
      </c>
      <c r="D18" s="15">
        <f>SUM(Q18:S18)</f>
        <v>0</v>
      </c>
      <c r="E18" s="15"/>
      <c r="F18" s="15"/>
      <c r="G18" s="15">
        <f>ROUND(SUM(C18:F18)/2,0)</f>
        <v>0</v>
      </c>
      <c r="H18" s="15"/>
      <c r="I18" s="15">
        <f t="shared" si="0"/>
        <v>0</v>
      </c>
      <c r="J18" s="15">
        <f t="shared" si="0"/>
        <v>0</v>
      </c>
      <c r="K18" s="15">
        <f t="shared" si="0"/>
        <v>0</v>
      </c>
      <c r="L18" s="15"/>
      <c r="M18" s="81">
        <v>0</v>
      </c>
      <c r="N18" s="81">
        <v>0</v>
      </c>
      <c r="O18" s="81">
        <v>0</v>
      </c>
      <c r="P18" s="15"/>
      <c r="Q18" s="81">
        <v>0</v>
      </c>
      <c r="R18" s="81">
        <v>0</v>
      </c>
      <c r="S18" s="81">
        <v>0</v>
      </c>
    </row>
    <row r="19" spans="1:19" ht="14.25">
      <c r="A19" s="17">
        <f t="shared" si="1"/>
        <v>3</v>
      </c>
      <c r="B19" s="5" t="s">
        <v>32</v>
      </c>
      <c r="C19" s="15">
        <v>0</v>
      </c>
      <c r="D19" s="15">
        <v>0</v>
      </c>
      <c r="E19" s="15">
        <f aca="true" t="shared" si="2" ref="E19:F21">-C19</f>
        <v>0</v>
      </c>
      <c r="F19" s="15">
        <f t="shared" si="2"/>
        <v>0</v>
      </c>
      <c r="G19" s="15">
        <f>ROUND(SUM(C19:F19)/2,0)</f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4.25">
      <c r="A20" s="17">
        <f t="shared" si="1"/>
        <v>4</v>
      </c>
      <c r="B20" s="5" t="s">
        <v>33</v>
      </c>
      <c r="C20" s="15">
        <v>0</v>
      </c>
      <c r="D20" s="15">
        <v>0</v>
      </c>
      <c r="E20" s="15">
        <f t="shared" si="2"/>
        <v>0</v>
      </c>
      <c r="F20" s="15">
        <f t="shared" si="2"/>
        <v>0</v>
      </c>
      <c r="G20" s="15">
        <f>ROUND(SUM(C20:F20)/2,0)</f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4.25">
      <c r="A21" s="17">
        <f t="shared" si="1"/>
        <v>5</v>
      </c>
      <c r="B21" s="5" t="s">
        <v>34</v>
      </c>
      <c r="C21" s="15">
        <v>0</v>
      </c>
      <c r="D21" s="15">
        <v>0</v>
      </c>
      <c r="E21" s="15">
        <f t="shared" si="2"/>
        <v>0</v>
      </c>
      <c r="F21" s="15">
        <f t="shared" si="2"/>
        <v>0</v>
      </c>
      <c r="G21" s="15">
        <f>ROUND(SUM(C21:F21)/2,0)</f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4.25">
      <c r="A22" s="17">
        <f t="shared" si="1"/>
        <v>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5" thickBot="1">
      <c r="A23" s="17">
        <f t="shared" si="1"/>
        <v>7</v>
      </c>
      <c r="B23" s="14" t="s">
        <v>35</v>
      </c>
      <c r="C23" s="18">
        <f aca="true" t="shared" si="3" ref="C23:N23">SUM(C17:C22)</f>
        <v>0</v>
      </c>
      <c r="D23" s="18">
        <f t="shared" si="3"/>
        <v>0</v>
      </c>
      <c r="E23" s="18">
        <f t="shared" si="3"/>
        <v>0</v>
      </c>
      <c r="F23" s="18">
        <f t="shared" si="3"/>
        <v>0</v>
      </c>
      <c r="G23" s="18">
        <f t="shared" si="3"/>
        <v>0</v>
      </c>
      <c r="H23" s="18"/>
      <c r="I23" s="18">
        <f>SUM(I17:I22)</f>
        <v>0</v>
      </c>
      <c r="J23" s="18">
        <f>SUM(J17:J22)</f>
        <v>0</v>
      </c>
      <c r="K23" s="18">
        <f>SUM(K17:K22)</f>
        <v>0</v>
      </c>
      <c r="L23" s="18"/>
      <c r="M23" s="18">
        <f t="shared" si="3"/>
        <v>0</v>
      </c>
      <c r="N23" s="18">
        <f t="shared" si="3"/>
        <v>0</v>
      </c>
      <c r="O23" s="18">
        <f>SUM(O17:O22)</f>
        <v>0</v>
      </c>
      <c r="P23" s="15"/>
      <c r="Q23" s="18">
        <f>SUM(Q17:Q22)</f>
        <v>0</v>
      </c>
      <c r="R23" s="18">
        <f>SUM(R17:R22)</f>
        <v>0</v>
      </c>
      <c r="S23" s="18">
        <f>SUM(S17:S22)</f>
        <v>0</v>
      </c>
    </row>
    <row r="24" spans="1:19" ht="15" thickTop="1">
      <c r="A24" s="17">
        <f t="shared" si="1"/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9"/>
      <c r="R24" s="19"/>
      <c r="S24" s="19"/>
    </row>
    <row r="25" spans="1:19" ht="14.25">
      <c r="A25" s="17">
        <f t="shared" si="1"/>
        <v>9</v>
      </c>
      <c r="B25" s="5" t="s">
        <v>36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4.25">
      <c r="A26" s="17">
        <f t="shared" si="1"/>
        <v>10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4.25">
      <c r="A27" s="17">
        <f t="shared" si="1"/>
        <v>11</v>
      </c>
      <c r="B27" s="14" t="s">
        <v>406</v>
      </c>
      <c r="C27" s="15">
        <f aca="true" t="shared" si="4" ref="C27:C34">SUM(M27:O27)</f>
        <v>17436757.1</v>
      </c>
      <c r="D27" s="15">
        <f aca="true" t="shared" si="5" ref="D27:D34">SUM(Q27:S27)</f>
        <v>18391350.9</v>
      </c>
      <c r="E27" s="15"/>
      <c r="F27" s="15"/>
      <c r="G27" s="15">
        <f aca="true" t="shared" si="6" ref="G27:G39">ROUND(SUM(C27:F27)/2,0)</f>
        <v>17914054</v>
      </c>
      <c r="H27" s="15"/>
      <c r="I27" s="15">
        <f>(M27+Q27)/2</f>
        <v>0</v>
      </c>
      <c r="J27" s="15">
        <f>(N27+R27)/2</f>
        <v>4383074.425</v>
      </c>
      <c r="K27" s="15">
        <f>(O27+S27)/2</f>
        <v>13530979.575</v>
      </c>
      <c r="L27" s="15"/>
      <c r="M27" s="81">
        <v>0</v>
      </c>
      <c r="N27" s="81">
        <f>4346501.5+6822</f>
        <v>4353323.5</v>
      </c>
      <c r="O27" s="81">
        <f>13080814.6+2619</f>
        <v>13083433.6</v>
      </c>
      <c r="P27" s="15"/>
      <c r="Q27" s="81">
        <v>0</v>
      </c>
      <c r="R27" s="81">
        <f>4406754.35+6071</f>
        <v>4412825.35</v>
      </c>
      <c r="S27" s="81">
        <f>13975280.55+3245</f>
        <v>13978525.55</v>
      </c>
    </row>
    <row r="28" spans="1:19" ht="14.25">
      <c r="A28" s="17">
        <f t="shared" si="1"/>
        <v>12</v>
      </c>
      <c r="B28" s="14" t="s">
        <v>43</v>
      </c>
      <c r="C28" s="15">
        <f t="shared" si="4"/>
        <v>0</v>
      </c>
      <c r="D28" s="15">
        <f t="shared" si="5"/>
        <v>0</v>
      </c>
      <c r="E28" s="15"/>
      <c r="F28" s="15"/>
      <c r="G28" s="15">
        <f>ROUND(SUM(C28:F28)/2,0)</f>
        <v>0</v>
      </c>
      <c r="H28" s="15"/>
      <c r="I28" s="15">
        <f aca="true" t="shared" si="7" ref="I28:K36">(M28+Q28)/2</f>
        <v>0</v>
      </c>
      <c r="J28" s="15">
        <f t="shared" si="7"/>
        <v>0</v>
      </c>
      <c r="K28" s="15">
        <f t="shared" si="7"/>
        <v>0</v>
      </c>
      <c r="L28" s="15"/>
      <c r="M28" s="81">
        <v>0</v>
      </c>
      <c r="N28" s="81">
        <v>0</v>
      </c>
      <c r="O28" s="81">
        <v>0</v>
      </c>
      <c r="P28" s="15"/>
      <c r="Q28" s="81">
        <v>0</v>
      </c>
      <c r="R28" s="81">
        <v>0</v>
      </c>
      <c r="S28" s="81">
        <v>0</v>
      </c>
    </row>
    <row r="29" spans="1:19" ht="14.25">
      <c r="A29" s="17">
        <f t="shared" si="1"/>
        <v>13</v>
      </c>
      <c r="B29" s="14" t="s">
        <v>407</v>
      </c>
      <c r="C29" s="15">
        <f t="shared" si="4"/>
        <v>-1944.25</v>
      </c>
      <c r="D29" s="15">
        <f t="shared" si="5"/>
        <v>-1680.7</v>
      </c>
      <c r="E29" s="15"/>
      <c r="F29" s="15"/>
      <c r="G29" s="15">
        <f>ROUND(SUM(C29:F29)/2,0)</f>
        <v>-1812</v>
      </c>
      <c r="H29" s="15"/>
      <c r="I29" s="15">
        <f t="shared" si="7"/>
        <v>0</v>
      </c>
      <c r="J29" s="15">
        <f t="shared" si="7"/>
        <v>-2451.575</v>
      </c>
      <c r="K29" s="15">
        <f t="shared" si="7"/>
        <v>639.0999999999999</v>
      </c>
      <c r="L29" s="15"/>
      <c r="M29" s="81">
        <v>0</v>
      </c>
      <c r="N29" s="81">
        <v>-2629.9</v>
      </c>
      <c r="O29" s="81">
        <v>685.65</v>
      </c>
      <c r="P29" s="15"/>
      <c r="Q29" s="81">
        <v>0</v>
      </c>
      <c r="R29" s="81">
        <v>-2273.25</v>
      </c>
      <c r="S29" s="81">
        <v>592.55</v>
      </c>
    </row>
    <row r="30" spans="1:19" ht="14.25">
      <c r="A30" s="17">
        <f t="shared" si="1"/>
        <v>14</v>
      </c>
      <c r="B30" s="14" t="s">
        <v>39</v>
      </c>
      <c r="C30" s="15">
        <f>SUM(M30:O30)</f>
        <v>0</v>
      </c>
      <c r="D30" s="15">
        <f t="shared" si="5"/>
        <v>437.5</v>
      </c>
      <c r="E30" s="15"/>
      <c r="F30" s="15"/>
      <c r="G30" s="15">
        <f>ROUND(SUM(C30:F30)/2,0)</f>
        <v>219</v>
      </c>
      <c r="H30" s="15"/>
      <c r="I30" s="15">
        <f t="shared" si="7"/>
        <v>0</v>
      </c>
      <c r="J30" s="15">
        <f t="shared" si="7"/>
        <v>218.75</v>
      </c>
      <c r="K30" s="15">
        <f t="shared" si="7"/>
        <v>0</v>
      </c>
      <c r="L30" s="15"/>
      <c r="M30" s="81">
        <v>0</v>
      </c>
      <c r="N30" s="81">
        <v>0</v>
      </c>
      <c r="O30" s="81">
        <v>0</v>
      </c>
      <c r="P30" s="15"/>
      <c r="Q30" s="81">
        <v>0</v>
      </c>
      <c r="R30" s="81">
        <v>437.5</v>
      </c>
      <c r="S30" s="81">
        <v>0</v>
      </c>
    </row>
    <row r="31" spans="1:19" ht="14.25">
      <c r="A31" s="17">
        <f t="shared" si="1"/>
        <v>15</v>
      </c>
      <c r="B31" s="14" t="s">
        <v>408</v>
      </c>
      <c r="C31" s="15">
        <f t="shared" si="4"/>
        <v>9224.25</v>
      </c>
      <c r="D31" s="15">
        <f t="shared" si="5"/>
        <v>8027.95</v>
      </c>
      <c r="E31" s="15"/>
      <c r="F31" s="15"/>
      <c r="G31" s="15">
        <f>ROUND(SUM(C31:F31)/2,0)</f>
        <v>8626</v>
      </c>
      <c r="H31" s="15"/>
      <c r="I31" s="15">
        <f t="shared" si="7"/>
        <v>0</v>
      </c>
      <c r="J31" s="15">
        <f t="shared" si="7"/>
        <v>0</v>
      </c>
      <c r="K31" s="15">
        <f t="shared" si="7"/>
        <v>8626.1</v>
      </c>
      <c r="L31" s="15"/>
      <c r="M31" s="81">
        <v>0</v>
      </c>
      <c r="N31" s="81">
        <v>0</v>
      </c>
      <c r="O31" s="81">
        <v>9224.25</v>
      </c>
      <c r="P31" s="15"/>
      <c r="Q31" s="81">
        <v>0</v>
      </c>
      <c r="R31" s="81">
        <v>0</v>
      </c>
      <c r="S31" s="81">
        <v>8027.95</v>
      </c>
    </row>
    <row r="32" spans="1:19" ht="14.25">
      <c r="A32" s="17">
        <f t="shared" si="1"/>
        <v>16</v>
      </c>
      <c r="B32" s="14" t="s">
        <v>42</v>
      </c>
      <c r="C32" s="15">
        <f t="shared" si="4"/>
        <v>1245962.3</v>
      </c>
      <c r="D32" s="15">
        <f t="shared" si="5"/>
        <v>1395110.2000000002</v>
      </c>
      <c r="E32" s="15"/>
      <c r="F32" s="15"/>
      <c r="G32" s="15">
        <f t="shared" si="6"/>
        <v>1320536</v>
      </c>
      <c r="H32" s="15"/>
      <c r="I32" s="15">
        <f t="shared" si="7"/>
        <v>0</v>
      </c>
      <c r="J32" s="15">
        <f t="shared" si="7"/>
        <v>109017.175</v>
      </c>
      <c r="K32" s="15">
        <f t="shared" si="7"/>
        <v>1211519.0750000002</v>
      </c>
      <c r="L32" s="15"/>
      <c r="M32" s="81">
        <v>0</v>
      </c>
      <c r="N32" s="81">
        <f>137660.75-52888</f>
        <v>84772.75</v>
      </c>
      <c r="O32" s="81">
        <f>1750051.55-588862</f>
        <v>1161189.55</v>
      </c>
      <c r="P32" s="15"/>
      <c r="Q32" s="81">
        <v>0</v>
      </c>
      <c r="R32" s="81">
        <f>193531.6-60270</f>
        <v>133261.6</v>
      </c>
      <c r="S32" s="81">
        <f>1917415.6-655567</f>
        <v>1261848.6</v>
      </c>
    </row>
    <row r="33" spans="1:19" ht="14.25">
      <c r="A33" s="17">
        <f t="shared" si="1"/>
        <v>17</v>
      </c>
      <c r="B33" s="5" t="s">
        <v>47</v>
      </c>
      <c r="C33" s="15">
        <f t="shared" si="4"/>
        <v>17</v>
      </c>
      <c r="D33" s="15">
        <f t="shared" si="5"/>
        <v>41.5</v>
      </c>
      <c r="E33" s="15"/>
      <c r="F33" s="15"/>
      <c r="G33" s="15">
        <f t="shared" si="6"/>
        <v>29</v>
      </c>
      <c r="H33" s="15"/>
      <c r="I33" s="15">
        <f t="shared" si="7"/>
        <v>0</v>
      </c>
      <c r="J33" s="15">
        <f t="shared" si="7"/>
        <v>14.5</v>
      </c>
      <c r="K33" s="15">
        <f t="shared" si="7"/>
        <v>14.75</v>
      </c>
      <c r="L33" s="15"/>
      <c r="M33" s="81">
        <v>0</v>
      </c>
      <c r="N33" s="81">
        <v>17</v>
      </c>
      <c r="O33" s="81">
        <v>0</v>
      </c>
      <c r="P33" s="15"/>
      <c r="Q33" s="81">
        <v>0</v>
      </c>
      <c r="R33" s="81">
        <v>12</v>
      </c>
      <c r="S33" s="81">
        <v>29.5</v>
      </c>
    </row>
    <row r="34" spans="1:19" ht="14.25">
      <c r="A34" s="17">
        <f t="shared" si="1"/>
        <v>18</v>
      </c>
      <c r="B34" s="5" t="s">
        <v>48</v>
      </c>
      <c r="C34" s="15">
        <f t="shared" si="4"/>
        <v>367389.05</v>
      </c>
      <c r="D34" s="15">
        <f t="shared" si="5"/>
        <v>333926.05</v>
      </c>
      <c r="E34" s="15"/>
      <c r="F34" s="15"/>
      <c r="G34" s="15">
        <f t="shared" si="6"/>
        <v>350658</v>
      </c>
      <c r="H34" s="15"/>
      <c r="I34" s="15">
        <f t="shared" si="7"/>
        <v>0</v>
      </c>
      <c r="J34" s="15">
        <f t="shared" si="7"/>
        <v>19410.050000000003</v>
      </c>
      <c r="K34" s="15">
        <f t="shared" si="7"/>
        <v>331247.5</v>
      </c>
      <c r="L34" s="15"/>
      <c r="M34" s="81">
        <v>0</v>
      </c>
      <c r="N34" s="81">
        <f>109056.55-88264</f>
        <v>20792.550000000003</v>
      </c>
      <c r="O34" s="81">
        <f>1136163.5-789567</f>
        <v>346596.5</v>
      </c>
      <c r="P34" s="15"/>
      <c r="Q34" s="81">
        <v>0</v>
      </c>
      <c r="R34" s="81">
        <f>109056.55-91029</f>
        <v>18027.550000000003</v>
      </c>
      <c r="S34" s="81">
        <f>1136163.5-820265</f>
        <v>315898.5</v>
      </c>
    </row>
    <row r="35" spans="1:19" ht="14.25">
      <c r="A35" s="17">
        <f t="shared" si="1"/>
        <v>19</v>
      </c>
      <c r="B35" s="14" t="s">
        <v>51</v>
      </c>
      <c r="C35" s="15">
        <f>SUM(M35:O35)</f>
        <v>206216.59999999998</v>
      </c>
      <c r="D35" s="15">
        <f>SUM(Q35:S35)</f>
        <v>230257.75</v>
      </c>
      <c r="E35" s="15"/>
      <c r="F35" s="15"/>
      <c r="G35" s="15">
        <f>ROUND(SUM(C35:F35)/2,0)</f>
        <v>218237</v>
      </c>
      <c r="H35" s="15"/>
      <c r="I35" s="15">
        <f t="shared" si="7"/>
        <v>0</v>
      </c>
      <c r="J35" s="15">
        <f t="shared" si="7"/>
        <v>-24477.050000000003</v>
      </c>
      <c r="K35" s="15">
        <f t="shared" si="7"/>
        <v>242714.22499999998</v>
      </c>
      <c r="L35" s="15"/>
      <c r="M35" s="81">
        <v>0</v>
      </c>
      <c r="N35" s="81">
        <f>-33762.05+8722</f>
        <v>-25040.050000000003</v>
      </c>
      <c r="O35" s="81">
        <f>255485.65-24229</f>
        <v>231256.65</v>
      </c>
      <c r="P35" s="15"/>
      <c r="Q35" s="81">
        <v>0</v>
      </c>
      <c r="R35" s="81">
        <f>-33762.05+9848</f>
        <v>-23914.050000000003</v>
      </c>
      <c r="S35" s="81">
        <f>288570.8-34399</f>
        <v>254171.8</v>
      </c>
    </row>
    <row r="36" spans="1:19" ht="14.25">
      <c r="A36" s="17">
        <f t="shared" si="1"/>
        <v>20</v>
      </c>
      <c r="B36" s="14" t="s">
        <v>55</v>
      </c>
      <c r="C36" s="15">
        <f>SUM(M36:O36)</f>
        <v>-3661.7</v>
      </c>
      <c r="D36" s="15">
        <f>SUM(Q36:S36)</f>
        <v>0</v>
      </c>
      <c r="E36" s="15"/>
      <c r="F36" s="15"/>
      <c r="G36" s="15">
        <f>ROUND(SUM(C36:F36)/2,0)</f>
        <v>-1831</v>
      </c>
      <c r="H36" s="15"/>
      <c r="I36" s="15">
        <f t="shared" si="7"/>
        <v>0</v>
      </c>
      <c r="J36" s="15">
        <f t="shared" si="7"/>
        <v>40.95</v>
      </c>
      <c r="K36" s="15">
        <f t="shared" si="7"/>
        <v>-1871.8</v>
      </c>
      <c r="L36" s="15"/>
      <c r="M36" s="81">
        <v>0</v>
      </c>
      <c r="N36" s="81">
        <v>81.9</v>
      </c>
      <c r="O36" s="81">
        <v>-3743.6</v>
      </c>
      <c r="P36" s="15"/>
      <c r="Q36" s="81">
        <v>0</v>
      </c>
      <c r="R36" s="81">
        <v>0</v>
      </c>
      <c r="S36" s="81">
        <v>0</v>
      </c>
    </row>
    <row r="37" spans="1:19" ht="14.25">
      <c r="A37" s="17">
        <f t="shared" si="1"/>
        <v>21</v>
      </c>
      <c r="B37" s="5" t="s">
        <v>32</v>
      </c>
      <c r="C37" s="81">
        <v>258.15</v>
      </c>
      <c r="D37" s="81">
        <v>258.15</v>
      </c>
      <c r="E37" s="15">
        <f aca="true" t="shared" si="8" ref="E37:F39">-C37</f>
        <v>-258.15</v>
      </c>
      <c r="F37" s="15">
        <f t="shared" si="8"/>
        <v>-258.15</v>
      </c>
      <c r="G37" s="15">
        <f t="shared" si="6"/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4.25">
      <c r="A38" s="17">
        <f t="shared" si="1"/>
        <v>22</v>
      </c>
      <c r="B38" s="5" t="s">
        <v>63</v>
      </c>
      <c r="C38" s="81">
        <v>1898305.81</v>
      </c>
      <c r="D38" s="81">
        <v>1750892.46</v>
      </c>
      <c r="E38" s="15">
        <f t="shared" si="8"/>
        <v>-1898305.81</v>
      </c>
      <c r="F38" s="15">
        <f t="shared" si="8"/>
        <v>-1750892.46</v>
      </c>
      <c r="G38" s="15">
        <f t="shared" si="6"/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4.25">
      <c r="A39" s="17">
        <f t="shared" si="1"/>
        <v>23</v>
      </c>
      <c r="B39" s="5" t="s">
        <v>64</v>
      </c>
      <c r="C39" s="81">
        <v>-9441</v>
      </c>
      <c r="D39" s="81">
        <v>-9316</v>
      </c>
      <c r="E39" s="15">
        <f t="shared" si="8"/>
        <v>9441</v>
      </c>
      <c r="F39" s="15">
        <f t="shared" si="8"/>
        <v>9316</v>
      </c>
      <c r="G39" s="15">
        <f t="shared" si="6"/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4.25">
      <c r="A40" s="17">
        <f t="shared" si="1"/>
        <v>24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5" thickBot="1">
      <c r="A41" s="17">
        <f t="shared" si="1"/>
        <v>25</v>
      </c>
      <c r="B41" s="5" t="s">
        <v>65</v>
      </c>
      <c r="C41" s="18">
        <f>SUM(C27:C40)</f>
        <v>21149083.310000002</v>
      </c>
      <c r="D41" s="18">
        <f>SUM(D27:D40)</f>
        <v>22099305.759999998</v>
      </c>
      <c r="E41" s="18">
        <f>SUM(E27:E40)</f>
        <v>-1889122.96</v>
      </c>
      <c r="F41" s="18">
        <f>SUM(F27:F40)</f>
        <v>-1741834.6099999999</v>
      </c>
      <c r="G41" s="18">
        <f>SUM(G27:G40)</f>
        <v>19808716</v>
      </c>
      <c r="H41" s="18"/>
      <c r="I41" s="18">
        <f>SUM(I27:I40)</f>
        <v>0</v>
      </c>
      <c r="J41" s="18">
        <f>SUM(J27:J40)</f>
        <v>4484847.225</v>
      </c>
      <c r="K41" s="18">
        <f>SUM(K27:K40)</f>
        <v>15323868.524999997</v>
      </c>
      <c r="L41" s="18"/>
      <c r="M41" s="18">
        <f>SUM(M27:M40)</f>
        <v>0</v>
      </c>
      <c r="N41" s="18">
        <f>SUM(N27:N40)</f>
        <v>4431317.75</v>
      </c>
      <c r="O41" s="18">
        <f>SUM(O27:O40)</f>
        <v>14828642.600000001</v>
      </c>
      <c r="P41" s="15"/>
      <c r="Q41" s="18">
        <f>SUM(Q27:Q40)</f>
        <v>0</v>
      </c>
      <c r="R41" s="18">
        <f>SUM(R27:R40)</f>
        <v>4538376.699999999</v>
      </c>
      <c r="S41" s="18">
        <f>SUM(S27:S40)</f>
        <v>15819094.450000001</v>
      </c>
    </row>
    <row r="42" spans="1:19" ht="15" thickTop="1">
      <c r="A42" s="17">
        <f t="shared" si="1"/>
        <v>26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5"/>
      <c r="Q42" s="19"/>
      <c r="R42" s="19"/>
      <c r="S42" s="19"/>
    </row>
    <row r="43" spans="1:19" ht="14.25">
      <c r="A43" s="17">
        <f t="shared" si="1"/>
        <v>27</v>
      </c>
      <c r="B43" s="14" t="s">
        <v>66</v>
      </c>
      <c r="C43" s="15" t="s">
        <v>67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4.25">
      <c r="A44" s="17">
        <f t="shared" si="1"/>
        <v>28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4.25">
      <c r="A45" s="17">
        <f t="shared" si="1"/>
        <v>29</v>
      </c>
      <c r="B45" s="14" t="s">
        <v>79</v>
      </c>
      <c r="C45" s="15">
        <f aca="true" t="shared" si="9" ref="C45:C53">SUM(M45:O45)</f>
        <v>-2182958.75</v>
      </c>
      <c r="D45" s="15">
        <f aca="true" t="shared" si="10" ref="D45:D53">SUM(Q45:S45)</f>
        <v>-2391702.95</v>
      </c>
      <c r="E45" s="15"/>
      <c r="F45" s="15"/>
      <c r="G45" s="15">
        <f>ROUND(SUM(C45:F45)/2,0)</f>
        <v>-2287331</v>
      </c>
      <c r="H45" s="15"/>
      <c r="I45" s="15">
        <f aca="true" t="shared" si="11" ref="I45:K46">(+M45+Q45)/2</f>
        <v>0</v>
      </c>
      <c r="J45" s="15">
        <f t="shared" si="11"/>
        <v>-467294.8</v>
      </c>
      <c r="K45" s="15">
        <f t="shared" si="11"/>
        <v>-1820036.0499999998</v>
      </c>
      <c r="L45" s="15"/>
      <c r="M45" s="81">
        <v>0</v>
      </c>
      <c r="N45" s="81">
        <v>-409661.35</v>
      </c>
      <c r="O45" s="81">
        <v>-1773297.4</v>
      </c>
      <c r="P45" s="15"/>
      <c r="Q45" s="81">
        <v>0</v>
      </c>
      <c r="R45" s="81">
        <v>-524928.25</v>
      </c>
      <c r="S45" s="81">
        <v>-1866774.7</v>
      </c>
    </row>
    <row r="46" spans="1:19" ht="14.25">
      <c r="A46" s="17">
        <f t="shared" si="1"/>
        <v>30</v>
      </c>
      <c r="B46" s="14" t="s">
        <v>394</v>
      </c>
      <c r="C46" s="15">
        <f>SUM(M46:O46)</f>
        <v>713793.37</v>
      </c>
      <c r="D46" s="15">
        <f>SUM(Q46:S46)</f>
        <v>713793.37</v>
      </c>
      <c r="E46" s="15"/>
      <c r="F46" s="15"/>
      <c r="G46" s="15">
        <f>ROUND(SUM(C46:F46)/2,0)</f>
        <v>713793</v>
      </c>
      <c r="H46" s="15"/>
      <c r="I46" s="15">
        <f t="shared" si="11"/>
        <v>0</v>
      </c>
      <c r="J46" s="15">
        <f t="shared" si="11"/>
        <v>0.1</v>
      </c>
      <c r="K46" s="15">
        <f t="shared" si="11"/>
        <v>713793.27</v>
      </c>
      <c r="L46" s="15"/>
      <c r="M46" s="81">
        <v>0</v>
      </c>
      <c r="N46" s="81">
        <v>0.1</v>
      </c>
      <c r="O46" s="81">
        <v>713793.27</v>
      </c>
      <c r="P46" s="15"/>
      <c r="Q46" s="81">
        <v>0</v>
      </c>
      <c r="R46" s="81">
        <v>0.1</v>
      </c>
      <c r="S46" s="81">
        <v>713793.27</v>
      </c>
    </row>
    <row r="47" spans="1:19" ht="14.25">
      <c r="A47" s="17">
        <f t="shared" si="1"/>
        <v>31</v>
      </c>
      <c r="B47" s="5" t="s">
        <v>409</v>
      </c>
      <c r="C47" s="15">
        <f t="shared" si="9"/>
        <v>2084</v>
      </c>
      <c r="D47" s="15">
        <f t="shared" si="10"/>
        <v>2084</v>
      </c>
      <c r="E47" s="15"/>
      <c r="F47" s="15"/>
      <c r="G47" s="15">
        <f aca="true" t="shared" si="12" ref="G47:G56">ROUND(SUM(C47:F47)/2,0)</f>
        <v>2084</v>
      </c>
      <c r="H47" s="15"/>
      <c r="I47" s="15">
        <f>(+M47+Q47)/2</f>
        <v>0</v>
      </c>
      <c r="J47" s="15">
        <f>(+N47+R47)/2</f>
        <v>2084</v>
      </c>
      <c r="K47" s="15">
        <f>(+O47+S47)/2</f>
        <v>0</v>
      </c>
      <c r="L47" s="15"/>
      <c r="M47" s="81">
        <v>0</v>
      </c>
      <c r="N47" s="81">
        <v>2084</v>
      </c>
      <c r="O47" s="81">
        <v>0</v>
      </c>
      <c r="P47" s="15"/>
      <c r="Q47" s="81">
        <v>0</v>
      </c>
      <c r="R47" s="81">
        <v>2084</v>
      </c>
      <c r="S47" s="81">
        <v>0</v>
      </c>
    </row>
    <row r="48" spans="1:19" ht="14.25">
      <c r="A48" s="17">
        <f t="shared" si="1"/>
        <v>32</v>
      </c>
      <c r="B48" s="14" t="s">
        <v>86</v>
      </c>
      <c r="C48" s="15">
        <f t="shared" si="9"/>
        <v>2182958.75</v>
      </c>
      <c r="D48" s="15">
        <f t="shared" si="10"/>
        <v>2391702.95</v>
      </c>
      <c r="E48" s="15"/>
      <c r="F48" s="15"/>
      <c r="G48" s="15">
        <f>ROUND(SUM(C48:F48)/2,0)</f>
        <v>2287331</v>
      </c>
      <c r="H48" s="15"/>
      <c r="I48" s="15">
        <f aca="true" t="shared" si="13" ref="I48:K53">(+M48+Q48)/2</f>
        <v>0</v>
      </c>
      <c r="J48" s="15">
        <f t="shared" si="13"/>
        <v>467294.8</v>
      </c>
      <c r="K48" s="15">
        <f t="shared" si="13"/>
        <v>1820036.0499999998</v>
      </c>
      <c r="L48" s="15"/>
      <c r="M48" s="81">
        <v>0</v>
      </c>
      <c r="N48" s="81">
        <v>409661.35</v>
      </c>
      <c r="O48" s="81">
        <v>1773297.4</v>
      </c>
      <c r="P48" s="15"/>
      <c r="Q48" s="81">
        <v>0</v>
      </c>
      <c r="R48" s="81">
        <v>524928.25</v>
      </c>
      <c r="S48" s="81">
        <v>1866774.7</v>
      </c>
    </row>
    <row r="49" spans="1:19" ht="14.25">
      <c r="A49" s="17">
        <f t="shared" si="1"/>
        <v>33</v>
      </c>
      <c r="B49" s="14" t="s">
        <v>410</v>
      </c>
      <c r="C49" s="15">
        <f t="shared" si="9"/>
        <v>-405038.21</v>
      </c>
      <c r="D49" s="15">
        <f t="shared" si="10"/>
        <v>-339791.16000000003</v>
      </c>
      <c r="E49" s="15"/>
      <c r="F49" s="15"/>
      <c r="G49" s="15">
        <f>ROUND(SUM(C49:F49)/2,0)</f>
        <v>-372415</v>
      </c>
      <c r="H49" s="15"/>
      <c r="I49" s="15">
        <f t="shared" si="13"/>
        <v>0</v>
      </c>
      <c r="J49" s="15">
        <f t="shared" si="13"/>
        <v>-43363.7</v>
      </c>
      <c r="K49" s="15">
        <f t="shared" si="13"/>
        <v>-329050.985</v>
      </c>
      <c r="L49" s="15"/>
      <c r="M49" s="81">
        <v>0</v>
      </c>
      <c r="N49" s="81">
        <v>-57767.44</v>
      </c>
      <c r="O49" s="81">
        <v>-347270.77</v>
      </c>
      <c r="P49" s="15"/>
      <c r="Q49" s="81">
        <v>0</v>
      </c>
      <c r="R49" s="81">
        <v>-28959.96</v>
      </c>
      <c r="S49" s="81">
        <v>-310831.2</v>
      </c>
    </row>
    <row r="50" spans="1:19" ht="14.25">
      <c r="A50" s="17">
        <f t="shared" si="1"/>
        <v>34</v>
      </c>
      <c r="B50" s="21" t="s">
        <v>571</v>
      </c>
      <c r="C50" s="15">
        <f>SUM(M50:O50)</f>
        <v>8604.09</v>
      </c>
      <c r="D50" s="15">
        <f>SUM(Q50:S50)</f>
        <v>58683.47</v>
      </c>
      <c r="E50" s="15"/>
      <c r="F50" s="15"/>
      <c r="G50" s="15">
        <f>ROUND(SUM(C50:F50)/2,0)</f>
        <v>33644</v>
      </c>
      <c r="H50" s="15"/>
      <c r="I50" s="15">
        <f t="shared" si="13"/>
        <v>0</v>
      </c>
      <c r="J50" s="15">
        <f t="shared" si="13"/>
        <v>0</v>
      </c>
      <c r="K50" s="15">
        <f t="shared" si="13"/>
        <v>33643.78</v>
      </c>
      <c r="L50" s="15"/>
      <c r="M50" s="81">
        <v>0</v>
      </c>
      <c r="N50" s="81">
        <v>0</v>
      </c>
      <c r="O50" s="81">
        <v>8604.09</v>
      </c>
      <c r="P50" s="15"/>
      <c r="Q50" s="81">
        <v>0</v>
      </c>
      <c r="R50" s="81">
        <v>0</v>
      </c>
      <c r="S50" s="81">
        <v>58683.47</v>
      </c>
    </row>
    <row r="51" spans="1:19" ht="14.25">
      <c r="A51" s="17">
        <f t="shared" si="1"/>
        <v>35</v>
      </c>
      <c r="B51" s="5" t="s">
        <v>282</v>
      </c>
      <c r="C51" s="15">
        <f t="shared" si="9"/>
        <v>58605</v>
      </c>
      <c r="D51" s="15">
        <f t="shared" si="10"/>
        <v>337193.39</v>
      </c>
      <c r="E51" s="15"/>
      <c r="F51" s="15"/>
      <c r="G51" s="15">
        <f t="shared" si="12"/>
        <v>197899</v>
      </c>
      <c r="H51" s="15"/>
      <c r="I51" s="15">
        <f t="shared" si="13"/>
        <v>0</v>
      </c>
      <c r="J51" s="15">
        <f t="shared" si="13"/>
        <v>26493.35</v>
      </c>
      <c r="K51" s="15">
        <f t="shared" si="13"/>
        <v>171405.845</v>
      </c>
      <c r="L51" s="15"/>
      <c r="M51" s="81">
        <v>0</v>
      </c>
      <c r="N51" s="81">
        <v>7792</v>
      </c>
      <c r="O51" s="81">
        <v>50813</v>
      </c>
      <c r="P51" s="15"/>
      <c r="Q51" s="81">
        <v>0</v>
      </c>
      <c r="R51" s="85">
        <f>5715.7+39479</f>
        <v>45194.7</v>
      </c>
      <c r="S51" s="81">
        <f>26454.69+265544</f>
        <v>291998.69</v>
      </c>
    </row>
    <row r="52" spans="1:19" ht="14.25">
      <c r="A52" s="17">
        <f t="shared" si="1"/>
        <v>36</v>
      </c>
      <c r="B52" s="21" t="s">
        <v>559</v>
      </c>
      <c r="C52" s="15">
        <f>SUM(M52:O52)</f>
        <v>117546</v>
      </c>
      <c r="D52" s="15">
        <f>SUM(Q52:S52)</f>
        <v>106860.28</v>
      </c>
      <c r="E52" s="15"/>
      <c r="F52" s="15"/>
      <c r="G52" s="15">
        <f>ROUND(SUM(C52:F52)/2,0)</f>
        <v>112203</v>
      </c>
      <c r="H52" s="15"/>
      <c r="I52" s="15">
        <f t="shared" si="13"/>
        <v>0</v>
      </c>
      <c r="J52" s="15">
        <f t="shared" si="13"/>
        <v>16178.720000000001</v>
      </c>
      <c r="K52" s="15">
        <f t="shared" si="13"/>
        <v>96024.42</v>
      </c>
      <c r="L52" s="15"/>
      <c r="M52" s="81">
        <v>0</v>
      </c>
      <c r="N52" s="81">
        <v>16949</v>
      </c>
      <c r="O52" s="81">
        <v>100597</v>
      </c>
      <c r="P52" s="15"/>
      <c r="Q52" s="81">
        <v>0</v>
      </c>
      <c r="R52" s="81">
        <v>15408.44</v>
      </c>
      <c r="S52" s="81">
        <v>91451.84</v>
      </c>
    </row>
    <row r="53" spans="1:19" ht="14.25">
      <c r="A53" s="17">
        <f t="shared" si="1"/>
        <v>37</v>
      </c>
      <c r="B53" s="5" t="s">
        <v>105</v>
      </c>
      <c r="C53" s="15">
        <f t="shared" si="9"/>
        <v>120173.71</v>
      </c>
      <c r="D53" s="15">
        <f t="shared" si="10"/>
        <v>59539.130000000005</v>
      </c>
      <c r="E53" s="15"/>
      <c r="F53" s="15"/>
      <c r="G53" s="15">
        <f t="shared" si="12"/>
        <v>89856</v>
      </c>
      <c r="H53" s="15"/>
      <c r="I53" s="15">
        <f t="shared" si="13"/>
        <v>0</v>
      </c>
      <c r="J53" s="15">
        <f t="shared" si="13"/>
        <v>28870.08</v>
      </c>
      <c r="K53" s="15">
        <f t="shared" si="13"/>
        <v>60986.340000000004</v>
      </c>
      <c r="L53" s="15"/>
      <c r="M53" s="81">
        <v>0</v>
      </c>
      <c r="N53" s="81">
        <v>39796.22</v>
      </c>
      <c r="O53" s="81">
        <v>80377.49</v>
      </c>
      <c r="P53" s="15"/>
      <c r="Q53" s="81">
        <v>0</v>
      </c>
      <c r="R53" s="81">
        <v>17943.94</v>
      </c>
      <c r="S53" s="81">
        <v>41595.19</v>
      </c>
    </row>
    <row r="54" spans="1:19" ht="14.25">
      <c r="A54" s="17">
        <f t="shared" si="1"/>
        <v>38</v>
      </c>
      <c r="B54" s="5" t="s">
        <v>32</v>
      </c>
      <c r="C54" s="81">
        <v>0</v>
      </c>
      <c r="D54" s="81">
        <v>0</v>
      </c>
      <c r="E54" s="15">
        <f aca="true" t="shared" si="14" ref="E54:F56">-C54</f>
        <v>0</v>
      </c>
      <c r="F54" s="15">
        <f t="shared" si="14"/>
        <v>0</v>
      </c>
      <c r="G54" s="15">
        <f t="shared" si="12"/>
        <v>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4.25">
      <c r="A55" s="17">
        <f t="shared" si="1"/>
        <v>39</v>
      </c>
      <c r="B55" s="5" t="s">
        <v>107</v>
      </c>
      <c r="C55" s="81">
        <v>1995658.84</v>
      </c>
      <c r="D55" s="81">
        <v>1997257.73</v>
      </c>
      <c r="E55" s="15">
        <f t="shared" si="14"/>
        <v>-1995658.84</v>
      </c>
      <c r="F55" s="15">
        <f t="shared" si="14"/>
        <v>-1997257.73</v>
      </c>
      <c r="G55" s="15">
        <f t="shared" si="12"/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4.25">
      <c r="A56" s="17">
        <f t="shared" si="1"/>
        <v>40</v>
      </c>
      <c r="B56" s="5" t="s">
        <v>108</v>
      </c>
      <c r="C56" s="81">
        <v>0</v>
      </c>
      <c r="D56" s="81">
        <v>0</v>
      </c>
      <c r="E56" s="15">
        <f t="shared" si="14"/>
        <v>0</v>
      </c>
      <c r="F56" s="15">
        <f t="shared" si="14"/>
        <v>0</v>
      </c>
      <c r="G56" s="15">
        <f t="shared" si="12"/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4.25">
      <c r="A57" s="17">
        <f t="shared" si="1"/>
        <v>41</v>
      </c>
      <c r="B57" s="5" t="s">
        <v>111</v>
      </c>
      <c r="C57" s="81">
        <v>1776</v>
      </c>
      <c r="D57" s="81">
        <v>0</v>
      </c>
      <c r="E57" s="15">
        <f>-C57</f>
        <v>-1776</v>
      </c>
      <c r="F57" s="15">
        <f>-D57</f>
        <v>0</v>
      </c>
      <c r="G57" s="15">
        <f>ROUND(SUM(C57:F57)/2,0)</f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4.25">
      <c r="A58" s="17">
        <f t="shared" si="1"/>
        <v>42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5" thickBot="1">
      <c r="A59" s="17">
        <f t="shared" si="1"/>
        <v>43</v>
      </c>
      <c r="B59" s="5"/>
      <c r="C59" s="18">
        <f>SUM(C45:C58)</f>
        <v>2613202.8000000003</v>
      </c>
      <c r="D59" s="18">
        <f>SUM(D45:D58)</f>
        <v>2935620.21</v>
      </c>
      <c r="E59" s="18">
        <f>SUM(E45:E58)</f>
        <v>-1997434.84</v>
      </c>
      <c r="F59" s="18">
        <f>SUM(F45:F58)</f>
        <v>-1997257.73</v>
      </c>
      <c r="G59" s="18">
        <f>SUM(G45:G58)</f>
        <v>777064</v>
      </c>
      <c r="H59" s="18"/>
      <c r="I59" s="18">
        <f>SUM(I45:I58)</f>
        <v>0</v>
      </c>
      <c r="J59" s="18">
        <f>SUM(J45:J58)</f>
        <v>30262.54999999998</v>
      </c>
      <c r="K59" s="18">
        <f>SUM(K45:K58)</f>
        <v>746802.67</v>
      </c>
      <c r="L59" s="18"/>
      <c r="M59" s="18">
        <f>SUM(M45:M58)</f>
        <v>0</v>
      </c>
      <c r="N59" s="18">
        <f>SUM(N45:N58)</f>
        <v>8853.879999999976</v>
      </c>
      <c r="O59" s="18">
        <f>SUM(O45:O58)</f>
        <v>606914.0800000001</v>
      </c>
      <c r="P59" s="15"/>
      <c r="Q59" s="18">
        <f>SUM(Q45:Q58)</f>
        <v>0</v>
      </c>
      <c r="R59" s="18">
        <f>SUM(R45:R58)</f>
        <v>51671.21999999997</v>
      </c>
      <c r="S59" s="18">
        <f>SUM(S45:S58)</f>
        <v>886691.26</v>
      </c>
    </row>
    <row r="60" spans="1:19" ht="15" thickTop="1">
      <c r="A60" s="17">
        <f t="shared" si="1"/>
        <v>44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5"/>
      <c r="Q60" s="19"/>
      <c r="R60" s="19"/>
      <c r="S60" s="19"/>
    </row>
    <row r="61" spans="1:19" ht="14.25">
      <c r="A61" s="17">
        <f t="shared" si="1"/>
        <v>45</v>
      </c>
      <c r="C61" s="15"/>
      <c r="D61" s="15" t="s">
        <v>67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4.25">
      <c r="A62" s="17">
        <f t="shared" si="1"/>
        <v>46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4.25">
      <c r="A63" s="17">
        <f t="shared" si="1"/>
        <v>47</v>
      </c>
      <c r="B63" s="5" t="s">
        <v>113</v>
      </c>
      <c r="C63" s="81">
        <v>2824518</v>
      </c>
      <c r="D63" s="81">
        <v>3019124</v>
      </c>
      <c r="E63" s="15">
        <f>-C63</f>
        <v>-2824518</v>
      </c>
      <c r="F63" s="15">
        <f>-D63</f>
        <v>-3019124</v>
      </c>
      <c r="G63" s="15">
        <f>ROUND(SUM(C63:F63)/2,0)</f>
        <v>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4.25">
      <c r="A64" s="17">
        <f t="shared" si="1"/>
        <v>48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5" thickBot="1">
      <c r="A65" s="17">
        <f t="shared" si="1"/>
        <v>49</v>
      </c>
      <c r="B65" s="5" t="s">
        <v>114</v>
      </c>
      <c r="C65" s="18">
        <f>SUM(C59+C63)</f>
        <v>5437720.800000001</v>
      </c>
      <c r="D65" s="18">
        <f>SUM(D59+D63)</f>
        <v>5954744.21</v>
      </c>
      <c r="E65" s="18">
        <f>SUM(E59+E63)</f>
        <v>-4821952.84</v>
      </c>
      <c r="F65" s="18">
        <f>SUM(F59+F63)</f>
        <v>-5016381.73</v>
      </c>
      <c r="G65" s="18">
        <f>SUM(G59+G63)</f>
        <v>777064</v>
      </c>
      <c r="H65" s="18"/>
      <c r="I65" s="18">
        <f>SUM(I59+I63)</f>
        <v>0</v>
      </c>
      <c r="J65" s="18">
        <f>SUM(J59+J63)</f>
        <v>30262.54999999998</v>
      </c>
      <c r="K65" s="18">
        <f>SUM(K59+K63)</f>
        <v>746802.67</v>
      </c>
      <c r="L65" s="18"/>
      <c r="M65" s="18">
        <f>SUM(M59+M63)</f>
        <v>0</v>
      </c>
      <c r="N65" s="18">
        <f>SUM(N59+N63)</f>
        <v>8853.879999999976</v>
      </c>
      <c r="O65" s="18">
        <f>SUM(O59+O63)</f>
        <v>606914.0800000001</v>
      </c>
      <c r="P65" s="15"/>
      <c r="Q65" s="18">
        <f>SUM(Q59+Q63)</f>
        <v>0</v>
      </c>
      <c r="R65" s="18">
        <f>SUM(R59+R63)</f>
        <v>51671.21999999997</v>
      </c>
      <c r="S65" s="18">
        <f>SUM(S59+S63)</f>
        <v>886691.26</v>
      </c>
    </row>
    <row r="66" spans="1:19" ht="15" thickTop="1">
      <c r="A66" s="17">
        <f t="shared" si="1"/>
        <v>50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5"/>
      <c r="Q66" s="19"/>
      <c r="R66" s="19"/>
      <c r="S66" s="19"/>
    </row>
    <row r="67" spans="1:19" ht="14.25">
      <c r="A67" s="17">
        <f t="shared" si="1"/>
        <v>51</v>
      </c>
      <c r="B67" s="5" t="s">
        <v>115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4.25">
      <c r="A68" s="17">
        <f t="shared" si="1"/>
        <v>52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4.25">
      <c r="A69" s="17">
        <f t="shared" si="1"/>
        <v>53</v>
      </c>
      <c r="B69" s="5" t="s">
        <v>116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4.25">
      <c r="A70" s="17">
        <f t="shared" si="1"/>
        <v>54</v>
      </c>
      <c r="C70" s="15"/>
      <c r="D70" s="22"/>
      <c r="E70" s="22"/>
      <c r="F70" s="22"/>
      <c r="G70" s="22"/>
      <c r="H70" s="22"/>
      <c r="I70" s="22"/>
      <c r="J70" s="22"/>
      <c r="K70" s="22"/>
      <c r="L70" s="22"/>
      <c r="M70" s="15"/>
      <c r="N70" s="15"/>
      <c r="O70" s="15"/>
      <c r="P70" s="15"/>
      <c r="Q70" s="15"/>
      <c r="R70" s="15"/>
      <c r="S70" s="15"/>
    </row>
    <row r="71" spans="1:19" ht="14.25">
      <c r="A71" s="17">
        <f t="shared" si="1"/>
        <v>55</v>
      </c>
      <c r="B71" s="5" t="s">
        <v>117</v>
      </c>
      <c r="C71" s="15"/>
      <c r="D71" s="22"/>
      <c r="E71" s="22"/>
      <c r="F71" s="22"/>
      <c r="G71" s="22"/>
      <c r="H71" s="22"/>
      <c r="I71" s="22"/>
      <c r="J71" s="22"/>
      <c r="K71" s="22"/>
      <c r="L71" s="22"/>
      <c r="M71" s="15"/>
      <c r="N71" s="15"/>
      <c r="O71" s="15"/>
      <c r="P71" s="15"/>
      <c r="Q71" s="15"/>
      <c r="R71" s="15"/>
      <c r="S71" s="15"/>
    </row>
    <row r="72" spans="1:19" ht="14.25">
      <c r="A72" s="17">
        <f t="shared" si="1"/>
        <v>56</v>
      </c>
      <c r="B72" s="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4.25">
      <c r="A73" s="17">
        <f t="shared" si="1"/>
        <v>57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4.25">
      <c r="A74" s="17">
        <f t="shared" si="1"/>
        <v>58</v>
      </c>
      <c r="B74" s="14" t="s">
        <v>118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4.25">
      <c r="A75" s="17">
        <f t="shared" si="1"/>
        <v>59</v>
      </c>
      <c r="B75" s="14" t="s">
        <v>119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4.25">
      <c r="A76" s="17">
        <f t="shared" si="1"/>
        <v>60</v>
      </c>
      <c r="B76" s="5" t="s">
        <v>298</v>
      </c>
      <c r="C76" s="15">
        <f>SUM(M76:O76)</f>
        <v>19255</v>
      </c>
      <c r="D76" s="15">
        <f>SUM(Q76:S76)</f>
        <v>3883</v>
      </c>
      <c r="E76" s="15"/>
      <c r="F76" s="15"/>
      <c r="G76" s="15">
        <f>ROUND(SUM(C76:F76)/2,0)</f>
        <v>11569</v>
      </c>
      <c r="H76" s="15"/>
      <c r="I76" s="15">
        <f>(+M76+Q76)/2</f>
        <v>0</v>
      </c>
      <c r="J76" s="15">
        <f>(+N76+R76)/2</f>
        <v>2348.5</v>
      </c>
      <c r="K76" s="15">
        <f>(+O76+S76)/2</f>
        <v>9220.5</v>
      </c>
      <c r="L76" s="15"/>
      <c r="M76" s="81">
        <v>0</v>
      </c>
      <c r="N76" s="81">
        <v>3937</v>
      </c>
      <c r="O76" s="81">
        <v>15318</v>
      </c>
      <c r="P76" s="15"/>
      <c r="Q76" s="81">
        <v>0</v>
      </c>
      <c r="R76" s="81">
        <v>760</v>
      </c>
      <c r="S76" s="81">
        <v>3123</v>
      </c>
    </row>
    <row r="77" spans="1:19" ht="14.25">
      <c r="A77" s="17">
        <f t="shared" si="1"/>
        <v>61</v>
      </c>
      <c r="B77" s="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5" thickBot="1">
      <c r="A78" s="17">
        <f t="shared" si="1"/>
        <v>62</v>
      </c>
      <c r="B78" s="14" t="s">
        <v>122</v>
      </c>
      <c r="C78" s="18">
        <f>SUM(C76:C77)</f>
        <v>19255</v>
      </c>
      <c r="D78" s="18">
        <f>SUM(D76:D77)</f>
        <v>3883</v>
      </c>
      <c r="E78" s="18">
        <f>SUM(E76:E77)</f>
        <v>0</v>
      </c>
      <c r="F78" s="18">
        <f>SUM(F76:F77)</f>
        <v>0</v>
      </c>
      <c r="G78" s="18">
        <f>SUM(G76:G77)</f>
        <v>11569</v>
      </c>
      <c r="H78" s="18"/>
      <c r="I78" s="18">
        <f>SUM(I76:I77)</f>
        <v>0</v>
      </c>
      <c r="J78" s="18">
        <f>SUM(J76:J77)</f>
        <v>2348.5</v>
      </c>
      <c r="K78" s="18">
        <f>SUM(K76:K77)</f>
        <v>9220.5</v>
      </c>
      <c r="L78" s="18"/>
      <c r="M78" s="18">
        <f>SUM(M76:M77)</f>
        <v>0</v>
      </c>
      <c r="N78" s="18">
        <f>SUM(N76:N77)</f>
        <v>3937</v>
      </c>
      <c r="O78" s="18">
        <f>SUM(O76:O77)</f>
        <v>15318</v>
      </c>
      <c r="P78" s="15"/>
      <c r="Q78" s="18">
        <f>SUM(Q76:Q77)</f>
        <v>0</v>
      </c>
      <c r="R78" s="18">
        <f>SUM(R76:R77)</f>
        <v>760</v>
      </c>
      <c r="S78" s="18">
        <f>SUM(S76:S77)</f>
        <v>3123</v>
      </c>
    </row>
    <row r="79" spans="1:19" ht="15" thickTop="1">
      <c r="A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5"/>
      <c r="Q79" s="19"/>
      <c r="R79" s="19"/>
      <c r="S79" s="19"/>
    </row>
  </sheetData>
  <sheetProtection/>
  <printOptions/>
  <pageMargins left="0.75" right="0" top="0.75" bottom="0.5" header="0" footer="0"/>
  <pageSetup fitToWidth="2" horizontalDpi="600" verticalDpi="600" orientation="portrait" scale="70" r:id="rId1"/>
  <headerFooter alignWithMargins="0">
    <oddHeader>&amp;RSTATEMENT AF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864"/>
  <sheetViews>
    <sheetView showOutlineSymbols="0" zoomScale="70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" sqref="B5"/>
    </sheetView>
  </sheetViews>
  <sheetFormatPr defaultColWidth="12.7109375" defaultRowHeight="15"/>
  <cols>
    <col min="1" max="1" width="5.8515625" style="2" customWidth="1"/>
    <col min="2" max="2" width="54.57421875" style="4" customWidth="1"/>
    <col min="3" max="3" width="14.140625" style="4" customWidth="1"/>
    <col min="4" max="4" width="13.57421875" style="4" customWidth="1"/>
    <col min="5" max="5" width="15.8515625" style="4" customWidth="1"/>
    <col min="6" max="6" width="16.421875" style="4" customWidth="1"/>
    <col min="7" max="7" width="18.421875" style="4" customWidth="1"/>
    <col min="8" max="8" width="3.140625" style="4" customWidth="1"/>
    <col min="9" max="11" width="18.421875" style="4" customWidth="1"/>
    <col min="12" max="12" width="3.00390625" style="4" customWidth="1"/>
    <col min="13" max="13" width="14.00390625" style="4" customWidth="1"/>
    <col min="14" max="14" width="15.8515625" style="4" customWidth="1"/>
    <col min="15" max="15" width="15.140625" style="4" customWidth="1"/>
    <col min="16" max="16" width="2.8515625" style="4" customWidth="1"/>
    <col min="17" max="17" width="14.00390625" style="4" bestFit="1" customWidth="1"/>
    <col min="18" max="18" width="15.8515625" style="4" customWidth="1"/>
    <col min="19" max="19" width="19.28125" style="4" customWidth="1"/>
    <col min="20" max="16384" width="12.7109375" style="4" customWidth="1"/>
  </cols>
  <sheetData>
    <row r="1" spans="2:19" ht="15">
      <c r="B1" s="3" t="s">
        <v>405</v>
      </c>
      <c r="G1" s="14"/>
      <c r="H1" s="14"/>
      <c r="I1" s="14"/>
      <c r="J1" s="14"/>
      <c r="K1" s="14"/>
      <c r="L1" s="14"/>
      <c r="S1" s="7"/>
    </row>
    <row r="2" spans="2:12" ht="15">
      <c r="B2" s="3" t="s">
        <v>123</v>
      </c>
      <c r="G2" s="5"/>
      <c r="H2" s="5"/>
      <c r="I2" s="5"/>
      <c r="J2" s="5"/>
      <c r="K2" s="5"/>
      <c r="L2" s="5"/>
    </row>
    <row r="3" ht="15">
      <c r="B3" s="53" t="s">
        <v>628</v>
      </c>
    </row>
    <row r="4" ht="15">
      <c r="B4" s="17"/>
    </row>
    <row r="5" ht="15">
      <c r="B5" s="7"/>
    </row>
    <row r="6" spans="7:12" ht="15">
      <c r="G6" s="6" t="s">
        <v>124</v>
      </c>
      <c r="H6" s="6"/>
      <c r="I6" s="6"/>
      <c r="J6" s="6"/>
      <c r="K6" s="6"/>
      <c r="L6" s="6"/>
    </row>
    <row r="7" ht="15"/>
    <row r="8" spans="2:19" ht="1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/>
      <c r="I8" s="8" t="s">
        <v>9</v>
      </c>
      <c r="J8" s="8" t="s">
        <v>10</v>
      </c>
      <c r="K8" s="8" t="s">
        <v>11</v>
      </c>
      <c r="L8" s="8"/>
      <c r="M8" s="8" t="s">
        <v>12</v>
      </c>
      <c r="N8" s="54" t="s">
        <v>13</v>
      </c>
      <c r="O8" s="54" t="s">
        <v>14</v>
      </c>
      <c r="Q8" s="8" t="s">
        <v>15</v>
      </c>
      <c r="R8" s="54" t="s">
        <v>16</v>
      </c>
      <c r="S8" s="54" t="s">
        <v>17</v>
      </c>
    </row>
    <row r="9" ht="15"/>
    <row r="10" spans="3:19" ht="15">
      <c r="C10" s="9" t="s">
        <v>18</v>
      </c>
      <c r="D10" s="9"/>
      <c r="E10" s="10" t="s">
        <v>19</v>
      </c>
      <c r="F10" s="9"/>
      <c r="G10" s="11" t="s">
        <v>20</v>
      </c>
      <c r="H10" s="11"/>
      <c r="I10" s="12" t="s">
        <v>21</v>
      </c>
      <c r="J10" s="9"/>
      <c r="K10" s="9"/>
      <c r="L10" s="11"/>
      <c r="M10" s="32" t="s">
        <v>580</v>
      </c>
      <c r="N10" s="9"/>
      <c r="O10" s="9"/>
      <c r="Q10" s="32" t="s">
        <v>530</v>
      </c>
      <c r="R10" s="9"/>
      <c r="S10" s="9"/>
    </row>
    <row r="11" spans="3:19" ht="15">
      <c r="C11" s="13"/>
      <c r="D11" s="13"/>
      <c r="G11" s="11" t="s">
        <v>22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5">
      <c r="C12" s="11" t="s">
        <v>23</v>
      </c>
      <c r="D12" s="11" t="s">
        <v>23</v>
      </c>
      <c r="E12" s="11" t="s">
        <v>23</v>
      </c>
      <c r="F12" s="11" t="s">
        <v>23</v>
      </c>
      <c r="G12" s="11" t="s">
        <v>24</v>
      </c>
      <c r="H12" s="11"/>
      <c r="L12" s="11"/>
    </row>
    <row r="13" spans="2:19" ht="15">
      <c r="B13" s="8" t="s">
        <v>25</v>
      </c>
      <c r="C13" s="8" t="s">
        <v>581</v>
      </c>
      <c r="D13" s="8" t="s">
        <v>531</v>
      </c>
      <c r="E13" s="8" t="s">
        <v>581</v>
      </c>
      <c r="F13" s="8" t="s">
        <v>531</v>
      </c>
      <c r="G13" s="8" t="s">
        <v>26</v>
      </c>
      <c r="H13" s="8"/>
      <c r="I13" s="8" t="s">
        <v>27</v>
      </c>
      <c r="J13" s="8" t="s">
        <v>28</v>
      </c>
      <c r="K13" s="8" t="s">
        <v>29</v>
      </c>
      <c r="L13" s="8"/>
      <c r="M13" s="8" t="s">
        <v>27</v>
      </c>
      <c r="N13" s="54" t="s">
        <v>28</v>
      </c>
      <c r="O13" s="54" t="s">
        <v>29</v>
      </c>
      <c r="Q13" s="8" t="s">
        <v>27</v>
      </c>
      <c r="R13" s="54" t="s">
        <v>28</v>
      </c>
      <c r="S13" s="54" t="s">
        <v>29</v>
      </c>
    </row>
    <row r="14" ht="15"/>
    <row r="15" spans="1:25" ht="15">
      <c r="A15" s="34"/>
      <c r="B15" s="20" t="s">
        <v>125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P15" s="15"/>
      <c r="Q15" s="15"/>
      <c r="T15" s="15"/>
      <c r="U15" s="15"/>
      <c r="V15" s="15"/>
      <c r="W15" s="15"/>
      <c r="X15" s="15"/>
      <c r="Y15" s="15"/>
    </row>
    <row r="16" spans="1:25" ht="15">
      <c r="A16" s="3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P16" s="15"/>
      <c r="Q16" s="15"/>
      <c r="T16" s="15"/>
      <c r="U16" s="15"/>
      <c r="V16" s="15"/>
      <c r="W16" s="15"/>
      <c r="X16" s="15"/>
      <c r="Y16" s="15"/>
    </row>
    <row r="17" spans="1:25" ht="15">
      <c r="A17" s="35">
        <f>1</f>
        <v>1</v>
      </c>
      <c r="B17" s="36" t="s">
        <v>299</v>
      </c>
      <c r="C17" s="15">
        <f aca="true" t="shared" si="0" ref="C17:C30">SUM(M17:O17)</f>
        <v>26359</v>
      </c>
      <c r="D17" s="15">
        <f aca="true" t="shared" si="1" ref="D17:D41">SUM(Q17:S17)</f>
        <v>324337</v>
      </c>
      <c r="E17" s="15"/>
      <c r="F17" s="15"/>
      <c r="G17" s="15">
        <f aca="true" t="shared" si="2" ref="G17:G41">ROUND(SUM(C17:F17)/2,0)</f>
        <v>175348</v>
      </c>
      <c r="H17" s="15"/>
      <c r="I17" s="15">
        <f>(+M17+Q17)/2</f>
        <v>0</v>
      </c>
      <c r="J17" s="15">
        <f>ROUND((+N17+R17)/2,0)</f>
        <v>10884</v>
      </c>
      <c r="K17" s="15">
        <f>ROUND((+O17+S17)/2,0)</f>
        <v>164464</v>
      </c>
      <c r="L17" s="15"/>
      <c r="M17" s="15">
        <v>0</v>
      </c>
      <c r="N17" s="86">
        <v>10884</v>
      </c>
      <c r="O17" s="86">
        <v>15475</v>
      </c>
      <c r="P17" s="15"/>
      <c r="Q17" s="15">
        <v>0</v>
      </c>
      <c r="R17" s="86">
        <v>10884</v>
      </c>
      <c r="S17" s="86">
        <f>14899+298554</f>
        <v>313453</v>
      </c>
      <c r="T17" s="15"/>
      <c r="U17" s="15"/>
      <c r="V17" s="15"/>
      <c r="W17" s="15"/>
      <c r="X17" s="15"/>
      <c r="Y17" s="15"/>
    </row>
    <row r="18" spans="1:25" ht="15">
      <c r="A18" s="35">
        <f aca="true" t="shared" si="3" ref="A18:A52">A17+1</f>
        <v>2</v>
      </c>
      <c r="B18" s="15" t="s">
        <v>303</v>
      </c>
      <c r="C18" s="15">
        <f t="shared" si="0"/>
        <v>344288.17</v>
      </c>
      <c r="D18" s="15">
        <f>SUM(Q18:S18)</f>
        <v>311943.79000000004</v>
      </c>
      <c r="E18" s="15"/>
      <c r="F18" s="15"/>
      <c r="G18" s="15">
        <f>ROUND(SUM(C18:F18)/2,0)</f>
        <v>328116</v>
      </c>
      <c r="H18" s="15"/>
      <c r="I18" s="15">
        <f aca="true" t="shared" si="4" ref="I18:I43">(+M18+Q18)/2</f>
        <v>0</v>
      </c>
      <c r="J18" s="15">
        <f aca="true" t="shared" si="5" ref="J18:K43">ROUND((+N18+R18)/2,0)</f>
        <v>20964</v>
      </c>
      <c r="K18" s="15">
        <f t="shared" si="5"/>
        <v>307152</v>
      </c>
      <c r="L18" s="15"/>
      <c r="M18" s="15">
        <v>0</v>
      </c>
      <c r="N18" s="15">
        <v>19391.75</v>
      </c>
      <c r="O18" s="15">
        <v>324896.42</v>
      </c>
      <c r="P18" s="15"/>
      <c r="Q18" s="15">
        <v>0</v>
      </c>
      <c r="R18" s="15">
        <v>22537.2</v>
      </c>
      <c r="S18" s="15">
        <v>289406.59</v>
      </c>
      <c r="T18" s="15"/>
      <c r="U18" s="15"/>
      <c r="V18" s="15"/>
      <c r="W18" s="15"/>
      <c r="X18" s="15"/>
      <c r="Y18" s="15"/>
    </row>
    <row r="19" spans="1:25" ht="15">
      <c r="A19" s="35">
        <f t="shared" si="3"/>
        <v>3</v>
      </c>
      <c r="B19" s="20" t="s">
        <v>127</v>
      </c>
      <c r="C19" s="15">
        <f t="shared" si="0"/>
        <v>0</v>
      </c>
      <c r="D19" s="15">
        <f t="shared" si="1"/>
        <v>0</v>
      </c>
      <c r="E19" s="15"/>
      <c r="F19" s="15"/>
      <c r="G19" s="15">
        <f>ROUND(SUM(C19:F19)/2,0)</f>
        <v>0</v>
      </c>
      <c r="H19" s="15"/>
      <c r="I19" s="15">
        <f t="shared" si="4"/>
        <v>0</v>
      </c>
      <c r="J19" s="15">
        <f t="shared" si="5"/>
        <v>0</v>
      </c>
      <c r="K19" s="15">
        <f t="shared" si="5"/>
        <v>0</v>
      </c>
      <c r="L19" s="15"/>
      <c r="M19" s="15">
        <v>0</v>
      </c>
      <c r="N19" s="4">
        <v>0</v>
      </c>
      <c r="O19" s="4">
        <v>0</v>
      </c>
      <c r="P19" s="15"/>
      <c r="Q19" s="15">
        <v>0</v>
      </c>
      <c r="R19" s="15">
        <v>0</v>
      </c>
      <c r="S19" s="4">
        <v>0</v>
      </c>
      <c r="T19" s="15"/>
      <c r="U19" s="15"/>
      <c r="V19" s="15"/>
      <c r="W19" s="15"/>
      <c r="X19" s="15"/>
      <c r="Y19" s="15"/>
    </row>
    <row r="20" spans="1:25" ht="15">
      <c r="A20" s="35">
        <f t="shared" si="3"/>
        <v>4</v>
      </c>
      <c r="B20" s="20" t="s">
        <v>411</v>
      </c>
      <c r="C20" s="15">
        <f t="shared" si="0"/>
        <v>0.37</v>
      </c>
      <c r="D20" s="15">
        <f t="shared" si="1"/>
        <v>7259.4</v>
      </c>
      <c r="E20" s="15"/>
      <c r="F20" s="15"/>
      <c r="G20" s="15">
        <f>ROUND(SUM(C20:F20)/2,0)</f>
        <v>3630</v>
      </c>
      <c r="H20" s="15"/>
      <c r="I20" s="15">
        <f t="shared" si="4"/>
        <v>0</v>
      </c>
      <c r="J20" s="15">
        <f t="shared" si="5"/>
        <v>3630</v>
      </c>
      <c r="K20" s="15">
        <f t="shared" si="5"/>
        <v>0</v>
      </c>
      <c r="L20" s="15"/>
      <c r="M20" s="15">
        <v>0</v>
      </c>
      <c r="N20" s="15">
        <v>0.01</v>
      </c>
      <c r="O20" s="4">
        <v>0.36</v>
      </c>
      <c r="P20" s="15"/>
      <c r="Q20" s="15">
        <v>0</v>
      </c>
      <c r="R20" s="15">
        <v>7259.04</v>
      </c>
      <c r="S20" s="4">
        <v>0.36</v>
      </c>
      <c r="T20" s="15"/>
      <c r="U20" s="15"/>
      <c r="V20" s="15"/>
      <c r="W20" s="15"/>
      <c r="X20" s="15"/>
      <c r="Y20" s="15"/>
    </row>
    <row r="21" spans="1:25" ht="14.25">
      <c r="A21" s="35">
        <f t="shared" si="3"/>
        <v>5</v>
      </c>
      <c r="B21" s="15" t="s">
        <v>78</v>
      </c>
      <c r="C21" s="15">
        <f t="shared" si="0"/>
        <v>-1403241.4400000002</v>
      </c>
      <c r="D21" s="15">
        <f t="shared" si="1"/>
        <v>-1459448.38</v>
      </c>
      <c r="E21" s="15"/>
      <c r="F21" s="15"/>
      <c r="G21" s="15">
        <f t="shared" si="2"/>
        <v>-1431345</v>
      </c>
      <c r="H21" s="15"/>
      <c r="I21" s="15">
        <f t="shared" si="4"/>
        <v>0</v>
      </c>
      <c r="J21" s="15">
        <f t="shared" si="5"/>
        <v>-197460</v>
      </c>
      <c r="K21" s="15">
        <f t="shared" si="5"/>
        <v>-1233885</v>
      </c>
      <c r="L21" s="15"/>
      <c r="M21" s="15">
        <v>0</v>
      </c>
      <c r="N21" s="15">
        <v>-192060.34</v>
      </c>
      <c r="O21" s="15">
        <v>-1211181.1</v>
      </c>
      <c r="P21" s="15"/>
      <c r="Q21" s="15">
        <v>0</v>
      </c>
      <c r="R21" s="86">
        <v>-202860.16</v>
      </c>
      <c r="S21" s="86">
        <v>-1256588.22</v>
      </c>
      <c r="T21" s="15"/>
      <c r="U21" s="15"/>
      <c r="V21" s="15"/>
      <c r="W21" s="15"/>
      <c r="X21" s="15"/>
      <c r="Y21" s="15"/>
    </row>
    <row r="22" spans="1:25" ht="14.25">
      <c r="A22" s="35">
        <f t="shared" si="3"/>
        <v>6</v>
      </c>
      <c r="B22" s="36" t="s">
        <v>540</v>
      </c>
      <c r="C22" s="15">
        <f t="shared" si="0"/>
        <v>0</v>
      </c>
      <c r="D22" s="15">
        <f>SUM(Q22:S22)</f>
        <v>23994.620000000003</v>
      </c>
      <c r="E22" s="15"/>
      <c r="F22" s="15"/>
      <c r="G22" s="15">
        <f>ROUND(SUM(C22:F22)/2,0)</f>
        <v>11997</v>
      </c>
      <c r="H22" s="15"/>
      <c r="I22" s="15">
        <f>(+M22+Q22)/2</f>
        <v>0</v>
      </c>
      <c r="J22" s="15">
        <f>ROUND((+N22+R22)/2,0)</f>
        <v>2322</v>
      </c>
      <c r="K22" s="15">
        <f>ROUND((+O22+S22)/2,0)</f>
        <v>9675</v>
      </c>
      <c r="L22" s="15"/>
      <c r="M22" s="15">
        <v>0</v>
      </c>
      <c r="N22" s="86">
        <v>0</v>
      </c>
      <c r="O22" s="86">
        <v>0</v>
      </c>
      <c r="P22" s="15"/>
      <c r="Q22" s="15">
        <v>0</v>
      </c>
      <c r="R22" s="86">
        <v>4644.15</v>
      </c>
      <c r="S22" s="86">
        <v>19350.47</v>
      </c>
      <c r="T22" s="15"/>
      <c r="U22" s="15"/>
      <c r="V22" s="15"/>
      <c r="W22" s="15"/>
      <c r="X22" s="15"/>
      <c r="Y22" s="15"/>
    </row>
    <row r="23" spans="1:25" ht="14.25">
      <c r="A23" s="35">
        <f t="shared" si="3"/>
        <v>7</v>
      </c>
      <c r="B23" s="15" t="s">
        <v>148</v>
      </c>
      <c r="C23" s="15">
        <f t="shared" si="0"/>
        <v>110086.45</v>
      </c>
      <c r="D23" s="15">
        <f t="shared" si="1"/>
        <v>102656.85</v>
      </c>
      <c r="E23" s="15"/>
      <c r="F23" s="15"/>
      <c r="G23" s="15">
        <f t="shared" si="2"/>
        <v>106372</v>
      </c>
      <c r="H23" s="15"/>
      <c r="I23" s="15">
        <f t="shared" si="4"/>
        <v>0</v>
      </c>
      <c r="J23" s="15">
        <f t="shared" si="5"/>
        <v>13591</v>
      </c>
      <c r="K23" s="15">
        <f t="shared" si="5"/>
        <v>92781</v>
      </c>
      <c r="L23" s="15"/>
      <c r="M23" s="15">
        <v>0</v>
      </c>
      <c r="N23" s="86">
        <v>1262.73</v>
      </c>
      <c r="O23" s="86">
        <v>108823.72</v>
      </c>
      <c r="P23" s="15"/>
      <c r="Q23" s="15">
        <v>0</v>
      </c>
      <c r="R23" s="86">
        <v>25918.9</v>
      </c>
      <c r="S23" s="86">
        <v>76737.95</v>
      </c>
      <c r="T23" s="15"/>
      <c r="U23" s="15"/>
      <c r="V23" s="15"/>
      <c r="W23" s="15"/>
      <c r="X23" s="15"/>
      <c r="Y23" s="15"/>
    </row>
    <row r="24" spans="1:25" ht="14.25">
      <c r="A24" s="35">
        <f t="shared" si="3"/>
        <v>8</v>
      </c>
      <c r="B24" s="15" t="s">
        <v>150</v>
      </c>
      <c r="C24" s="15">
        <f t="shared" si="0"/>
        <v>75461.05</v>
      </c>
      <c r="D24" s="15">
        <f t="shared" si="1"/>
        <v>103719.33</v>
      </c>
      <c r="E24" s="15"/>
      <c r="F24" s="15"/>
      <c r="G24" s="15">
        <f t="shared" si="2"/>
        <v>89590</v>
      </c>
      <c r="H24" s="15"/>
      <c r="I24" s="15">
        <f t="shared" si="4"/>
        <v>0</v>
      </c>
      <c r="J24" s="15">
        <f t="shared" si="5"/>
        <v>13760</v>
      </c>
      <c r="K24" s="15">
        <f t="shared" si="5"/>
        <v>75831</v>
      </c>
      <c r="L24" s="15"/>
      <c r="M24" s="15">
        <v>0</v>
      </c>
      <c r="N24" s="86">
        <v>1262</v>
      </c>
      <c r="O24" s="86">
        <v>74199.05</v>
      </c>
      <c r="P24" s="15"/>
      <c r="Q24" s="15">
        <v>0</v>
      </c>
      <c r="R24" s="86">
        <v>26257.13</v>
      </c>
      <c r="S24" s="86">
        <v>77462.2</v>
      </c>
      <c r="T24" s="15"/>
      <c r="U24" s="15"/>
      <c r="V24" s="15"/>
      <c r="W24" s="15"/>
      <c r="X24" s="15"/>
      <c r="Y24" s="15"/>
    </row>
    <row r="25" spans="1:25" ht="14.25">
      <c r="A25" s="35">
        <f t="shared" si="3"/>
        <v>9</v>
      </c>
      <c r="B25" s="20" t="s">
        <v>390</v>
      </c>
      <c r="C25" s="15">
        <f t="shared" si="0"/>
        <v>0</v>
      </c>
      <c r="D25" s="15">
        <f t="shared" si="1"/>
        <v>0</v>
      </c>
      <c r="E25" s="15"/>
      <c r="F25" s="15"/>
      <c r="G25" s="15">
        <f>ROUND(SUM(C25:F25)/2,0)</f>
        <v>0</v>
      </c>
      <c r="H25" s="15"/>
      <c r="I25" s="15">
        <f t="shared" si="4"/>
        <v>0</v>
      </c>
      <c r="J25" s="15">
        <f t="shared" si="5"/>
        <v>0</v>
      </c>
      <c r="K25" s="15">
        <f t="shared" si="5"/>
        <v>0</v>
      </c>
      <c r="L25" s="15"/>
      <c r="M25" s="15">
        <v>0</v>
      </c>
      <c r="N25" s="86">
        <v>0</v>
      </c>
      <c r="O25" s="86">
        <v>0</v>
      </c>
      <c r="P25" s="15"/>
      <c r="Q25" s="15">
        <v>0</v>
      </c>
      <c r="R25" s="86">
        <v>0</v>
      </c>
      <c r="S25" s="86">
        <v>0</v>
      </c>
      <c r="T25" s="15"/>
      <c r="U25" s="15"/>
      <c r="V25" s="15"/>
      <c r="W25" s="15"/>
      <c r="X25" s="15"/>
      <c r="Y25" s="15"/>
    </row>
    <row r="26" spans="1:25" ht="14.25">
      <c r="A26" s="35">
        <f t="shared" si="3"/>
        <v>10</v>
      </c>
      <c r="B26" s="15" t="s">
        <v>153</v>
      </c>
      <c r="C26" s="15">
        <f t="shared" si="0"/>
        <v>-0.09000000000000008</v>
      </c>
      <c r="D26" s="15">
        <f t="shared" si="1"/>
        <v>-0.09000000000000008</v>
      </c>
      <c r="E26" s="15"/>
      <c r="F26" s="15"/>
      <c r="G26" s="15">
        <f t="shared" si="2"/>
        <v>0</v>
      </c>
      <c r="H26" s="15"/>
      <c r="I26" s="15">
        <f t="shared" si="4"/>
        <v>0</v>
      </c>
      <c r="J26" s="15">
        <f t="shared" si="5"/>
        <v>0</v>
      </c>
      <c r="K26" s="15">
        <f t="shared" si="5"/>
        <v>0</v>
      </c>
      <c r="L26" s="15"/>
      <c r="M26" s="15">
        <v>0</v>
      </c>
      <c r="N26" s="86">
        <f>1-1</f>
        <v>0</v>
      </c>
      <c r="O26" s="86">
        <f>-1.09+1</f>
        <v>-0.09000000000000008</v>
      </c>
      <c r="P26" s="15"/>
      <c r="Q26" s="15">
        <v>0</v>
      </c>
      <c r="R26" s="86">
        <f>1-1</f>
        <v>0</v>
      </c>
      <c r="S26" s="86">
        <f>-1.09+1</f>
        <v>-0.09000000000000008</v>
      </c>
      <c r="T26" s="15"/>
      <c r="U26" s="15"/>
      <c r="V26" s="15"/>
      <c r="W26" s="15"/>
      <c r="X26" s="15"/>
      <c r="Y26" s="15"/>
    </row>
    <row r="27" spans="1:25" ht="14.25">
      <c r="A27" s="35">
        <f t="shared" si="3"/>
        <v>11</v>
      </c>
      <c r="B27" s="55" t="s">
        <v>154</v>
      </c>
      <c r="C27" s="15">
        <f t="shared" si="0"/>
        <v>-169.25</v>
      </c>
      <c r="D27" s="15">
        <f t="shared" si="1"/>
        <v>-220</v>
      </c>
      <c r="E27" s="15"/>
      <c r="F27" s="15"/>
      <c r="G27" s="15">
        <f>ROUND(SUM(C27:F27)/2,0)</f>
        <v>-195</v>
      </c>
      <c r="H27" s="15"/>
      <c r="I27" s="15">
        <f t="shared" si="4"/>
        <v>0</v>
      </c>
      <c r="J27" s="15">
        <f t="shared" si="5"/>
        <v>632</v>
      </c>
      <c r="K27" s="15">
        <f t="shared" si="5"/>
        <v>-827</v>
      </c>
      <c r="L27" s="15"/>
      <c r="M27" s="15">
        <v>0</v>
      </c>
      <c r="N27" s="86">
        <f>-5523.7+6290</f>
        <v>766.3000000000002</v>
      </c>
      <c r="O27" s="86">
        <f>-6969.55+6034</f>
        <v>-935.5500000000002</v>
      </c>
      <c r="P27" s="15"/>
      <c r="Q27" s="15">
        <v>0</v>
      </c>
      <c r="R27" s="86">
        <f>-5792.15+6290</f>
        <v>497.85000000000036</v>
      </c>
      <c r="S27" s="86">
        <f>-6751.85+6034</f>
        <v>-717.8500000000004</v>
      </c>
      <c r="T27" s="15"/>
      <c r="U27" s="15"/>
      <c r="V27" s="15"/>
      <c r="W27" s="15"/>
      <c r="X27" s="15"/>
      <c r="Y27" s="15"/>
    </row>
    <row r="28" spans="1:25" ht="14.25">
      <c r="A28" s="35">
        <f t="shared" si="3"/>
        <v>12</v>
      </c>
      <c r="B28" s="55" t="s">
        <v>155</v>
      </c>
      <c r="C28" s="15">
        <f t="shared" si="0"/>
        <v>1</v>
      </c>
      <c r="D28" s="15">
        <f t="shared" si="1"/>
        <v>-343.40000000000003</v>
      </c>
      <c r="E28" s="15"/>
      <c r="F28" s="15"/>
      <c r="G28" s="15">
        <f>ROUND(SUM(C28:F28)/2,0)</f>
        <v>-171</v>
      </c>
      <c r="H28" s="15"/>
      <c r="I28" s="15">
        <f t="shared" si="4"/>
        <v>0</v>
      </c>
      <c r="J28" s="15">
        <f t="shared" si="5"/>
        <v>-137</v>
      </c>
      <c r="K28" s="15">
        <f t="shared" si="5"/>
        <v>-34</v>
      </c>
      <c r="L28" s="15"/>
      <c r="M28" s="15">
        <v>0</v>
      </c>
      <c r="N28" s="86">
        <f>80.5-80</f>
        <v>0.5</v>
      </c>
      <c r="O28" s="86">
        <f>80.5-80</f>
        <v>0.5</v>
      </c>
      <c r="P28" s="15"/>
      <c r="Q28" s="15">
        <v>0</v>
      </c>
      <c r="R28" s="86">
        <f>-194.6-80</f>
        <v>-274.6</v>
      </c>
      <c r="S28" s="86">
        <f>11.2-80</f>
        <v>-68.8</v>
      </c>
      <c r="T28" s="15"/>
      <c r="U28" s="15"/>
      <c r="V28" s="15"/>
      <c r="W28" s="15"/>
      <c r="X28" s="15"/>
      <c r="Y28" s="15"/>
    </row>
    <row r="29" spans="1:25" ht="14.25">
      <c r="A29" s="35">
        <f t="shared" si="3"/>
        <v>13</v>
      </c>
      <c r="B29" s="15" t="s">
        <v>156</v>
      </c>
      <c r="C29" s="15">
        <f t="shared" si="0"/>
        <v>-27866.119999999995</v>
      </c>
      <c r="D29" s="15">
        <f t="shared" si="1"/>
        <v>-27866.119999999995</v>
      </c>
      <c r="E29" s="15"/>
      <c r="F29" s="15"/>
      <c r="G29" s="15">
        <f t="shared" si="2"/>
        <v>-27866</v>
      </c>
      <c r="H29" s="15"/>
      <c r="I29" s="15">
        <f t="shared" si="4"/>
        <v>0</v>
      </c>
      <c r="J29" s="15">
        <f t="shared" si="5"/>
        <v>72740</v>
      </c>
      <c r="K29" s="15">
        <f t="shared" si="5"/>
        <v>-100606</v>
      </c>
      <c r="L29" s="15"/>
      <c r="M29" s="15">
        <v>0</v>
      </c>
      <c r="N29" s="86">
        <v>72739.8</v>
      </c>
      <c r="O29" s="86">
        <v>-100605.92</v>
      </c>
      <c r="P29" s="15"/>
      <c r="Q29" s="15">
        <v>0</v>
      </c>
      <c r="R29" s="86">
        <v>72739.8</v>
      </c>
      <c r="S29" s="86">
        <v>-100605.92</v>
      </c>
      <c r="T29" s="15"/>
      <c r="U29" s="15"/>
      <c r="V29" s="15"/>
      <c r="W29" s="15"/>
      <c r="X29" s="15"/>
      <c r="Y29" s="15"/>
    </row>
    <row r="30" spans="1:25" ht="14.25">
      <c r="A30" s="35">
        <f t="shared" si="3"/>
        <v>14</v>
      </c>
      <c r="B30" s="15" t="s">
        <v>158</v>
      </c>
      <c r="C30" s="15">
        <f t="shared" si="0"/>
        <v>7780.84</v>
      </c>
      <c r="D30" s="15">
        <f t="shared" si="1"/>
        <v>7780.84</v>
      </c>
      <c r="E30" s="15"/>
      <c r="F30" s="15"/>
      <c r="G30" s="15">
        <f t="shared" si="2"/>
        <v>7781</v>
      </c>
      <c r="H30" s="15"/>
      <c r="I30" s="15">
        <f t="shared" si="4"/>
        <v>0</v>
      </c>
      <c r="J30" s="15">
        <f t="shared" si="5"/>
        <v>7781</v>
      </c>
      <c r="K30" s="15">
        <f t="shared" si="5"/>
        <v>0</v>
      </c>
      <c r="L30" s="15"/>
      <c r="M30" s="15">
        <v>0</v>
      </c>
      <c r="N30" s="86">
        <v>7780.84</v>
      </c>
      <c r="O30" s="4">
        <v>0</v>
      </c>
      <c r="P30" s="15"/>
      <c r="Q30" s="15">
        <v>0</v>
      </c>
      <c r="R30" s="86">
        <v>7780.84</v>
      </c>
      <c r="S30" s="86">
        <v>0</v>
      </c>
      <c r="T30" s="15"/>
      <c r="U30" s="15"/>
      <c r="V30" s="15"/>
      <c r="W30" s="15"/>
      <c r="X30" s="15"/>
      <c r="Y30" s="15"/>
    </row>
    <row r="31" spans="1:25" ht="14.25">
      <c r="A31" s="35">
        <f t="shared" si="3"/>
        <v>15</v>
      </c>
      <c r="B31" s="15" t="s">
        <v>172</v>
      </c>
      <c r="C31" s="15">
        <f aca="true" t="shared" si="6" ref="C31:C43">SUM(M31:O31)</f>
        <v>34300.48</v>
      </c>
      <c r="D31" s="15">
        <f t="shared" si="1"/>
        <v>33303.78</v>
      </c>
      <c r="E31" s="15"/>
      <c r="F31" s="15"/>
      <c r="G31" s="15">
        <f t="shared" si="2"/>
        <v>33802</v>
      </c>
      <c r="H31" s="15"/>
      <c r="I31" s="15">
        <f t="shared" si="4"/>
        <v>0</v>
      </c>
      <c r="J31" s="15">
        <f t="shared" si="5"/>
        <v>0</v>
      </c>
      <c r="K31" s="15">
        <f t="shared" si="5"/>
        <v>33802</v>
      </c>
      <c r="L31" s="15"/>
      <c r="M31" s="15">
        <v>0</v>
      </c>
      <c r="N31" s="4">
        <v>0</v>
      </c>
      <c r="O31" s="86">
        <v>34300.48</v>
      </c>
      <c r="P31" s="15"/>
      <c r="Q31" s="15">
        <v>0</v>
      </c>
      <c r="R31" s="86">
        <v>0</v>
      </c>
      <c r="S31" s="86">
        <v>33303.78</v>
      </c>
      <c r="T31" s="15"/>
      <c r="U31" s="15"/>
      <c r="V31" s="15"/>
      <c r="W31" s="15"/>
      <c r="X31" s="15"/>
      <c r="Y31" s="15"/>
    </row>
    <row r="32" spans="1:25" ht="14.25">
      <c r="A32" s="35">
        <f t="shared" si="3"/>
        <v>16</v>
      </c>
      <c r="B32" s="15" t="s">
        <v>175</v>
      </c>
      <c r="C32" s="15">
        <f t="shared" si="6"/>
        <v>-28.430000000000007</v>
      </c>
      <c r="D32" s="15">
        <f t="shared" si="1"/>
        <v>-337</v>
      </c>
      <c r="E32" s="15"/>
      <c r="F32" s="15"/>
      <c r="G32" s="15">
        <f t="shared" si="2"/>
        <v>-183</v>
      </c>
      <c r="H32" s="15"/>
      <c r="I32" s="15">
        <f t="shared" si="4"/>
        <v>0</v>
      </c>
      <c r="J32" s="15">
        <f t="shared" si="5"/>
        <v>-500</v>
      </c>
      <c r="K32" s="15">
        <f t="shared" si="5"/>
        <v>317</v>
      </c>
      <c r="L32" s="15"/>
      <c r="M32" s="15">
        <v>0</v>
      </c>
      <c r="N32" s="86">
        <v>-500.5</v>
      </c>
      <c r="O32" s="86">
        <v>472.07</v>
      </c>
      <c r="P32" s="15"/>
      <c r="Q32" s="15">
        <v>0</v>
      </c>
      <c r="R32" s="86">
        <v>-499</v>
      </c>
      <c r="S32" s="86">
        <v>162</v>
      </c>
      <c r="T32" s="15"/>
      <c r="U32" s="15"/>
      <c r="V32" s="15"/>
      <c r="W32" s="15"/>
      <c r="X32" s="15"/>
      <c r="Y32" s="15"/>
    </row>
    <row r="33" spans="1:25" ht="14.25">
      <c r="A33" s="35">
        <f t="shared" si="3"/>
        <v>17</v>
      </c>
      <c r="B33" s="20" t="s">
        <v>102</v>
      </c>
      <c r="C33" s="15">
        <f>SUM(M33:O33)</f>
        <v>-53121.6</v>
      </c>
      <c r="D33" s="15">
        <f>SUM(Q33:S33)</f>
        <v>-53667.25</v>
      </c>
      <c r="E33" s="15"/>
      <c r="F33" s="15"/>
      <c r="G33" s="15">
        <f>ROUND(SUM(C33:F33)/2,0)</f>
        <v>-53394</v>
      </c>
      <c r="H33" s="15"/>
      <c r="I33" s="15">
        <f t="shared" si="4"/>
        <v>0</v>
      </c>
      <c r="J33" s="15">
        <f t="shared" si="5"/>
        <v>-5130</v>
      </c>
      <c r="K33" s="15">
        <f t="shared" si="5"/>
        <v>-48265</v>
      </c>
      <c r="L33" s="15"/>
      <c r="M33" s="15">
        <v>0</v>
      </c>
      <c r="N33" s="86">
        <v>-6869.1</v>
      </c>
      <c r="O33" s="86">
        <v>-46252.5</v>
      </c>
      <c r="P33" s="15"/>
      <c r="Q33" s="15">
        <v>0</v>
      </c>
      <c r="R33" s="86">
        <v>-3390.1</v>
      </c>
      <c r="S33" s="86">
        <v>-50277.15</v>
      </c>
      <c r="T33" s="15"/>
      <c r="U33" s="15"/>
      <c r="V33" s="15"/>
      <c r="W33" s="15"/>
      <c r="X33" s="15"/>
      <c r="Y33" s="15"/>
    </row>
    <row r="34" spans="1:25" ht="14.25">
      <c r="A34" s="35">
        <f t="shared" si="3"/>
        <v>18</v>
      </c>
      <c r="B34" s="15" t="s">
        <v>177</v>
      </c>
      <c r="C34" s="15">
        <f t="shared" si="6"/>
        <v>-98805.47</v>
      </c>
      <c r="D34" s="15">
        <f t="shared" si="1"/>
        <v>7408</v>
      </c>
      <c r="E34" s="15"/>
      <c r="F34" s="15"/>
      <c r="G34" s="15">
        <f t="shared" si="2"/>
        <v>-45699</v>
      </c>
      <c r="H34" s="15"/>
      <c r="I34" s="15">
        <f t="shared" si="4"/>
        <v>0</v>
      </c>
      <c r="J34" s="15">
        <f t="shared" si="5"/>
        <v>-10269</v>
      </c>
      <c r="K34" s="15">
        <f t="shared" si="5"/>
        <v>-35430</v>
      </c>
      <c r="L34" s="15"/>
      <c r="M34" s="15">
        <v>0</v>
      </c>
      <c r="N34" s="86">
        <v>-18379.07</v>
      </c>
      <c r="O34" s="86">
        <v>-80426.4</v>
      </c>
      <c r="P34" s="15"/>
      <c r="Q34" s="15">
        <v>0</v>
      </c>
      <c r="R34" s="86">
        <v>-2158</v>
      </c>
      <c r="S34" s="86">
        <v>9566</v>
      </c>
      <c r="T34" s="15"/>
      <c r="U34" s="15"/>
      <c r="V34" s="15"/>
      <c r="W34" s="15"/>
      <c r="X34" s="15"/>
      <c r="Y34" s="15"/>
    </row>
    <row r="35" spans="1:25" ht="14.25">
      <c r="A35" s="35">
        <f t="shared" si="3"/>
        <v>19</v>
      </c>
      <c r="B35" s="55" t="s">
        <v>178</v>
      </c>
      <c r="C35" s="15">
        <f>SUM(M35:O35)</f>
        <v>187246.5</v>
      </c>
      <c r="D35" s="15">
        <f t="shared" si="1"/>
        <v>187246.5</v>
      </c>
      <c r="E35" s="15"/>
      <c r="F35" s="15"/>
      <c r="G35" s="15">
        <f t="shared" si="2"/>
        <v>187247</v>
      </c>
      <c r="H35" s="15"/>
      <c r="I35" s="15">
        <f t="shared" si="4"/>
        <v>0</v>
      </c>
      <c r="J35" s="15">
        <f t="shared" si="5"/>
        <v>21751</v>
      </c>
      <c r="K35" s="15">
        <f t="shared" si="5"/>
        <v>165495</v>
      </c>
      <c r="L35" s="15"/>
      <c r="M35" s="15">
        <v>0</v>
      </c>
      <c r="N35" s="86">
        <v>21751.45</v>
      </c>
      <c r="O35" s="86">
        <v>165495.05</v>
      </c>
      <c r="P35" s="15"/>
      <c r="Q35" s="15">
        <v>0</v>
      </c>
      <c r="R35" s="86">
        <v>21751.45</v>
      </c>
      <c r="S35" s="86">
        <v>165495.05</v>
      </c>
      <c r="T35" s="15"/>
      <c r="U35" s="15"/>
      <c r="V35" s="15"/>
      <c r="W35" s="15"/>
      <c r="X35" s="15"/>
      <c r="Y35" s="15"/>
    </row>
    <row r="36" spans="1:25" ht="14.25">
      <c r="A36" s="35">
        <f t="shared" si="3"/>
        <v>20</v>
      </c>
      <c r="B36" s="55" t="s">
        <v>179</v>
      </c>
      <c r="C36" s="15">
        <f>SUM(M36:O36)</f>
        <v>-339791.16000000003</v>
      </c>
      <c r="D36" s="15">
        <f t="shared" si="1"/>
        <v>-405038.21</v>
      </c>
      <c r="E36" s="15"/>
      <c r="F36" s="15"/>
      <c r="G36" s="15">
        <f t="shared" si="2"/>
        <v>-372415</v>
      </c>
      <c r="H36" s="15"/>
      <c r="I36" s="15">
        <f t="shared" si="4"/>
        <v>0</v>
      </c>
      <c r="J36" s="15">
        <f t="shared" si="5"/>
        <v>-43364</v>
      </c>
      <c r="K36" s="15">
        <f t="shared" si="5"/>
        <v>-329051</v>
      </c>
      <c r="L36" s="15"/>
      <c r="M36" s="15">
        <v>0</v>
      </c>
      <c r="N36" s="86">
        <v>-28959.96</v>
      </c>
      <c r="O36" s="86">
        <v>-310831.2</v>
      </c>
      <c r="P36" s="15"/>
      <c r="Q36" s="15">
        <v>0</v>
      </c>
      <c r="R36" s="86">
        <v>-57767.44</v>
      </c>
      <c r="S36" s="86">
        <v>-347270.77</v>
      </c>
      <c r="T36" s="15"/>
      <c r="U36" s="15"/>
      <c r="V36" s="15"/>
      <c r="W36" s="15"/>
      <c r="X36" s="15"/>
      <c r="Y36" s="15"/>
    </row>
    <row r="37" spans="1:25" ht="14.25">
      <c r="A37" s="35">
        <f t="shared" si="3"/>
        <v>21</v>
      </c>
      <c r="B37" s="15" t="s">
        <v>352</v>
      </c>
      <c r="C37" s="15">
        <f t="shared" si="6"/>
        <v>59539.770000000004</v>
      </c>
      <c r="D37" s="15">
        <f t="shared" si="1"/>
        <v>120174.35</v>
      </c>
      <c r="E37" s="15"/>
      <c r="F37" s="15"/>
      <c r="G37" s="15">
        <f t="shared" si="2"/>
        <v>89857</v>
      </c>
      <c r="H37" s="15"/>
      <c r="I37" s="15">
        <f t="shared" si="4"/>
        <v>0</v>
      </c>
      <c r="J37" s="15">
        <f t="shared" si="5"/>
        <v>28870</v>
      </c>
      <c r="K37" s="15">
        <f t="shared" si="5"/>
        <v>60987</v>
      </c>
      <c r="L37" s="15"/>
      <c r="M37" s="15">
        <v>0</v>
      </c>
      <c r="N37" s="86">
        <v>17943.94</v>
      </c>
      <c r="O37" s="86">
        <v>41595.83</v>
      </c>
      <c r="P37" s="15"/>
      <c r="Q37" s="15">
        <v>0</v>
      </c>
      <c r="R37" s="86">
        <v>39796.22</v>
      </c>
      <c r="S37" s="86">
        <v>80378.13</v>
      </c>
      <c r="T37" s="15"/>
      <c r="U37" s="15"/>
      <c r="V37" s="15"/>
      <c r="W37" s="15"/>
      <c r="X37" s="15"/>
      <c r="Y37" s="15"/>
    </row>
    <row r="38" spans="1:25" ht="14.25">
      <c r="A38" s="35">
        <f t="shared" si="3"/>
        <v>22</v>
      </c>
      <c r="B38" s="55" t="s">
        <v>365</v>
      </c>
      <c r="C38" s="15">
        <f t="shared" si="6"/>
        <v>0</v>
      </c>
      <c r="D38" s="15">
        <f t="shared" si="1"/>
        <v>5194.35</v>
      </c>
      <c r="E38" s="15"/>
      <c r="F38" s="15"/>
      <c r="G38" s="15">
        <f t="shared" si="2"/>
        <v>2597</v>
      </c>
      <c r="H38" s="15"/>
      <c r="I38" s="15">
        <f t="shared" si="4"/>
        <v>0</v>
      </c>
      <c r="J38" s="15">
        <f t="shared" si="5"/>
        <v>739</v>
      </c>
      <c r="K38" s="15">
        <f t="shared" si="5"/>
        <v>1858</v>
      </c>
      <c r="L38" s="15"/>
      <c r="M38" s="15">
        <v>0</v>
      </c>
      <c r="N38" s="86">
        <v>0</v>
      </c>
      <c r="O38" s="86">
        <v>0</v>
      </c>
      <c r="P38" s="15"/>
      <c r="Q38" s="15">
        <v>0</v>
      </c>
      <c r="R38" s="86">
        <v>1478.05</v>
      </c>
      <c r="S38" s="86">
        <v>3716.3</v>
      </c>
      <c r="T38" s="15"/>
      <c r="U38" s="15"/>
      <c r="V38" s="15"/>
      <c r="W38" s="15"/>
      <c r="X38" s="15"/>
      <c r="Y38" s="15"/>
    </row>
    <row r="39" spans="1:25" ht="14.25">
      <c r="A39" s="35">
        <f t="shared" si="3"/>
        <v>23</v>
      </c>
      <c r="B39" s="55" t="s">
        <v>186</v>
      </c>
      <c r="C39" s="15">
        <f t="shared" si="6"/>
        <v>0</v>
      </c>
      <c r="D39" s="15">
        <f t="shared" si="1"/>
        <v>0</v>
      </c>
      <c r="E39" s="15"/>
      <c r="F39" s="15"/>
      <c r="G39" s="15">
        <f t="shared" si="2"/>
        <v>0</v>
      </c>
      <c r="H39" s="15"/>
      <c r="I39" s="15">
        <f t="shared" si="4"/>
        <v>0</v>
      </c>
      <c r="J39" s="15">
        <f t="shared" si="5"/>
        <v>0</v>
      </c>
      <c r="K39" s="15">
        <f t="shared" si="5"/>
        <v>0</v>
      </c>
      <c r="L39" s="15"/>
      <c r="M39" s="15">
        <v>0</v>
      </c>
      <c r="N39" s="4">
        <v>0</v>
      </c>
      <c r="O39" s="4">
        <v>0</v>
      </c>
      <c r="P39" s="15"/>
      <c r="Q39" s="15">
        <v>0</v>
      </c>
      <c r="R39" s="86">
        <f>-4+4</f>
        <v>0</v>
      </c>
      <c r="S39" s="86">
        <f>-4+4</f>
        <v>0</v>
      </c>
      <c r="T39" s="15"/>
      <c r="U39" s="15"/>
      <c r="V39" s="15"/>
      <c r="W39" s="15"/>
      <c r="X39" s="15"/>
      <c r="Y39" s="15"/>
    </row>
    <row r="40" spans="1:25" ht="14.25">
      <c r="A40" s="35">
        <f t="shared" si="3"/>
        <v>24</v>
      </c>
      <c r="B40" s="56" t="s">
        <v>187</v>
      </c>
      <c r="C40" s="15">
        <f t="shared" si="6"/>
        <v>-0.05</v>
      </c>
      <c r="D40" s="15">
        <f>SUM(Q40:S40)</f>
        <v>-0.05</v>
      </c>
      <c r="E40" s="15"/>
      <c r="F40" s="15"/>
      <c r="G40" s="15">
        <f>ROUND(SUM(C40:F40)/2,0)</f>
        <v>0</v>
      </c>
      <c r="H40" s="15"/>
      <c r="I40" s="15">
        <f t="shared" si="4"/>
        <v>0</v>
      </c>
      <c r="J40" s="15">
        <f t="shared" si="5"/>
        <v>0</v>
      </c>
      <c r="K40" s="15">
        <f t="shared" si="5"/>
        <v>0</v>
      </c>
      <c r="L40" s="15"/>
      <c r="M40" s="15">
        <v>0</v>
      </c>
      <c r="N40" s="4">
        <v>0</v>
      </c>
      <c r="O40" s="86">
        <v>-0.05</v>
      </c>
      <c r="P40" s="15"/>
      <c r="Q40" s="15">
        <v>0</v>
      </c>
      <c r="R40" s="86">
        <v>0</v>
      </c>
      <c r="S40" s="86">
        <v>-0.05</v>
      </c>
      <c r="T40" s="15"/>
      <c r="U40" s="15"/>
      <c r="V40" s="15"/>
      <c r="W40" s="15"/>
      <c r="X40" s="15"/>
      <c r="Y40" s="15"/>
    </row>
    <row r="41" spans="1:25" ht="14.25">
      <c r="A41" s="35">
        <f t="shared" si="3"/>
        <v>25</v>
      </c>
      <c r="B41" s="55" t="s">
        <v>188</v>
      </c>
      <c r="C41" s="15">
        <f t="shared" si="6"/>
        <v>-1042.7000000000007</v>
      </c>
      <c r="D41" s="15">
        <f t="shared" si="1"/>
        <v>-3645.2999999999993</v>
      </c>
      <c r="E41" s="15"/>
      <c r="F41" s="15"/>
      <c r="G41" s="15">
        <f t="shared" si="2"/>
        <v>-2344</v>
      </c>
      <c r="H41" s="15"/>
      <c r="I41" s="15">
        <f t="shared" si="4"/>
        <v>0</v>
      </c>
      <c r="J41" s="15">
        <f t="shared" si="5"/>
        <v>-255</v>
      </c>
      <c r="K41" s="15">
        <f t="shared" si="5"/>
        <v>-2089</v>
      </c>
      <c r="L41" s="15"/>
      <c r="M41" s="15">
        <v>0</v>
      </c>
      <c r="N41" s="86">
        <f>-7962.85+7963</f>
        <v>0.1499999999996362</v>
      </c>
      <c r="O41" s="86">
        <f>-9005.85+7963</f>
        <v>-1042.8500000000004</v>
      </c>
      <c r="P41" s="15"/>
      <c r="Q41" s="15">
        <v>0</v>
      </c>
      <c r="R41" s="86">
        <f>-8473.15+7963</f>
        <v>-510.14999999999964</v>
      </c>
      <c r="S41" s="86">
        <f>-11098.15+7963</f>
        <v>-3135.1499999999996</v>
      </c>
      <c r="T41" s="15"/>
      <c r="U41" s="15"/>
      <c r="V41" s="15"/>
      <c r="W41" s="15"/>
      <c r="X41" s="15"/>
      <c r="Y41" s="15"/>
    </row>
    <row r="42" spans="1:25" ht="14.25">
      <c r="A42" s="35">
        <f t="shared" si="3"/>
        <v>26</v>
      </c>
      <c r="B42" s="55" t="s">
        <v>412</v>
      </c>
      <c r="C42" s="15">
        <f t="shared" si="6"/>
        <v>0</v>
      </c>
      <c r="D42" s="15">
        <f>SUM(Q42:S42)</f>
        <v>-2580.2</v>
      </c>
      <c r="E42" s="15"/>
      <c r="F42" s="15"/>
      <c r="G42" s="15">
        <f>ROUND(SUM(C42:F42)/2,0)</f>
        <v>-1290</v>
      </c>
      <c r="H42" s="15"/>
      <c r="I42" s="15">
        <f t="shared" si="4"/>
        <v>0</v>
      </c>
      <c r="J42" s="15">
        <f t="shared" si="5"/>
        <v>-483</v>
      </c>
      <c r="K42" s="15">
        <f t="shared" si="5"/>
        <v>-807</v>
      </c>
      <c r="L42" s="15"/>
      <c r="M42" s="15">
        <v>0</v>
      </c>
      <c r="N42" s="86">
        <v>0</v>
      </c>
      <c r="O42" s="86">
        <v>0</v>
      </c>
      <c r="P42" s="15"/>
      <c r="Q42" s="15">
        <v>0</v>
      </c>
      <c r="R42" s="86">
        <v>-965.3</v>
      </c>
      <c r="S42" s="86">
        <v>-1614.9</v>
      </c>
      <c r="T42" s="15"/>
      <c r="U42" s="15"/>
      <c r="V42" s="15"/>
      <c r="W42" s="15"/>
      <c r="X42" s="15"/>
      <c r="Y42" s="15"/>
    </row>
    <row r="43" spans="1:25" ht="14.25">
      <c r="A43" s="35">
        <f t="shared" si="3"/>
        <v>27</v>
      </c>
      <c r="B43" s="56" t="s">
        <v>413</v>
      </c>
      <c r="C43" s="15">
        <f t="shared" si="6"/>
        <v>13236</v>
      </c>
      <c r="D43" s="15">
        <f>SUM(Q43:S43)</f>
        <v>985</v>
      </c>
      <c r="E43" s="15"/>
      <c r="F43" s="15"/>
      <c r="G43" s="15">
        <f>ROUND(SUM(C43:F43)/2,0)</f>
        <v>7111</v>
      </c>
      <c r="H43" s="15"/>
      <c r="I43" s="15">
        <f t="shared" si="4"/>
        <v>0</v>
      </c>
      <c r="J43" s="15">
        <f t="shared" si="5"/>
        <v>383</v>
      </c>
      <c r="K43" s="15">
        <f t="shared" si="5"/>
        <v>6728</v>
      </c>
      <c r="L43" s="15"/>
      <c r="M43" s="15">
        <v>0</v>
      </c>
      <c r="N43" s="86">
        <v>383</v>
      </c>
      <c r="O43" s="4">
        <v>12853</v>
      </c>
      <c r="P43" s="15"/>
      <c r="Q43" s="15">
        <v>0</v>
      </c>
      <c r="R43" s="86">
        <v>383</v>
      </c>
      <c r="S43" s="86">
        <v>602</v>
      </c>
      <c r="T43" s="15"/>
      <c r="U43" s="15"/>
      <c r="V43" s="15"/>
      <c r="W43" s="15"/>
      <c r="X43" s="15"/>
      <c r="Y43" s="15"/>
    </row>
    <row r="44" spans="1:25" ht="14.25">
      <c r="A44" s="35">
        <f t="shared" si="3"/>
        <v>28</v>
      </c>
      <c r="B44" s="15"/>
      <c r="C44" s="15"/>
      <c r="D44" s="15"/>
      <c r="E44" s="15"/>
      <c r="F44" s="15"/>
      <c r="G44" s="15">
        <f aca="true" t="shared" si="7" ref="G44:G50">ROUND(SUM(C44:F44)/2,0)</f>
        <v>0</v>
      </c>
      <c r="H44" s="15"/>
      <c r="I44" s="15"/>
      <c r="J44" s="15"/>
      <c r="K44" s="15"/>
      <c r="L44" s="15"/>
      <c r="M44" s="15"/>
      <c r="P44" s="15"/>
      <c r="Q44" s="15"/>
      <c r="T44" s="15"/>
      <c r="U44" s="15"/>
      <c r="V44" s="15"/>
      <c r="W44" s="15"/>
      <c r="X44" s="15"/>
      <c r="Y44" s="15"/>
    </row>
    <row r="45" spans="1:25" ht="14.25">
      <c r="A45" s="35">
        <f t="shared" si="3"/>
        <v>29</v>
      </c>
      <c r="B45" s="15" t="s">
        <v>32</v>
      </c>
      <c r="C45" s="15">
        <v>50367.89</v>
      </c>
      <c r="D45" s="15">
        <v>84691.69</v>
      </c>
      <c r="E45" s="15">
        <f aca="true" t="shared" si="8" ref="E45:F48">-C45</f>
        <v>-50367.89</v>
      </c>
      <c r="F45" s="15">
        <f t="shared" si="8"/>
        <v>-84691.69</v>
      </c>
      <c r="G45" s="15">
        <f t="shared" si="7"/>
        <v>0</v>
      </c>
      <c r="H45" s="15"/>
      <c r="I45" s="15"/>
      <c r="J45" s="15"/>
      <c r="K45" s="15"/>
      <c r="L45" s="15"/>
      <c r="M45" s="15"/>
      <c r="P45" s="15"/>
      <c r="Q45" s="15"/>
      <c r="T45" s="15"/>
      <c r="U45" s="15"/>
      <c r="V45" s="15"/>
      <c r="W45" s="15"/>
      <c r="X45" s="15"/>
      <c r="Y45" s="15"/>
    </row>
    <row r="46" spans="1:25" ht="14.25">
      <c r="A46" s="35">
        <f t="shared" si="3"/>
        <v>30</v>
      </c>
      <c r="B46" s="15" t="s">
        <v>197</v>
      </c>
      <c r="C46" s="87">
        <v>1095539.94</v>
      </c>
      <c r="D46" s="87">
        <v>1026968</v>
      </c>
      <c r="E46" s="15">
        <f t="shared" si="8"/>
        <v>-1095539.94</v>
      </c>
      <c r="F46" s="15">
        <f t="shared" si="8"/>
        <v>-1026968</v>
      </c>
      <c r="G46" s="15">
        <f t="shared" si="7"/>
        <v>0</v>
      </c>
      <c r="H46" s="15"/>
      <c r="I46" s="15"/>
      <c r="J46" s="15"/>
      <c r="K46" s="15"/>
      <c r="L46" s="15"/>
      <c r="M46" s="15"/>
      <c r="P46" s="15"/>
      <c r="Q46" s="15"/>
      <c r="T46" s="15"/>
      <c r="U46" s="15"/>
      <c r="V46" s="15"/>
      <c r="W46" s="15"/>
      <c r="X46" s="15"/>
      <c r="Y46" s="15"/>
    </row>
    <row r="47" spans="1:25" ht="14.25">
      <c r="A47" s="35">
        <f t="shared" si="3"/>
        <v>31</v>
      </c>
      <c r="B47" s="15" t="s">
        <v>198</v>
      </c>
      <c r="C47" s="15">
        <v>5016.31</v>
      </c>
      <c r="D47" s="15">
        <v>5083.61</v>
      </c>
      <c r="E47" s="15">
        <f t="shared" si="8"/>
        <v>-5016.31</v>
      </c>
      <c r="F47" s="15">
        <f t="shared" si="8"/>
        <v>-5083.61</v>
      </c>
      <c r="G47" s="15">
        <f t="shared" si="7"/>
        <v>0</v>
      </c>
      <c r="H47" s="15"/>
      <c r="I47" s="15"/>
      <c r="J47" s="15"/>
      <c r="K47" s="15"/>
      <c r="L47" s="15"/>
      <c r="M47" s="15"/>
      <c r="P47" s="15"/>
      <c r="Q47" s="15"/>
      <c r="T47" s="15"/>
      <c r="U47" s="15"/>
      <c r="V47" s="15"/>
      <c r="W47" s="15"/>
      <c r="X47" s="15"/>
      <c r="Y47" s="15"/>
    </row>
    <row r="48" spans="1:25" ht="14.25">
      <c r="A48" s="35">
        <f t="shared" si="3"/>
        <v>32</v>
      </c>
      <c r="B48" s="15" t="s">
        <v>199</v>
      </c>
      <c r="C48" s="15">
        <v>0</v>
      </c>
      <c r="D48" s="15">
        <v>0</v>
      </c>
      <c r="E48" s="15">
        <f t="shared" si="8"/>
        <v>0</v>
      </c>
      <c r="F48" s="15">
        <f t="shared" si="8"/>
        <v>0</v>
      </c>
      <c r="G48" s="15">
        <f t="shared" si="7"/>
        <v>0</v>
      </c>
      <c r="H48" s="15"/>
      <c r="I48" s="15"/>
      <c r="J48" s="15"/>
      <c r="K48" s="15"/>
      <c r="L48" s="15"/>
      <c r="M48" s="15"/>
      <c r="P48" s="15"/>
      <c r="Q48" s="15"/>
      <c r="T48" s="15"/>
      <c r="U48" s="15"/>
      <c r="V48" s="15"/>
      <c r="W48" s="15"/>
      <c r="X48" s="15"/>
      <c r="Y48" s="15"/>
    </row>
    <row r="49" spans="1:25" ht="14.25">
      <c r="A49" s="35">
        <f t="shared" si="3"/>
        <v>33</v>
      </c>
      <c r="B49" s="20" t="s">
        <v>200</v>
      </c>
      <c r="C49" s="15">
        <v>0</v>
      </c>
      <c r="D49" s="15">
        <v>0</v>
      </c>
      <c r="E49" s="15">
        <f>-C49</f>
        <v>0</v>
      </c>
      <c r="F49" s="15">
        <f>-D49</f>
        <v>0</v>
      </c>
      <c r="G49" s="15">
        <f t="shared" si="7"/>
        <v>0</v>
      </c>
      <c r="H49" s="15"/>
      <c r="I49" s="15"/>
      <c r="J49" s="15"/>
      <c r="K49" s="15"/>
      <c r="L49" s="15"/>
      <c r="M49" s="15"/>
      <c r="P49" s="15"/>
      <c r="Q49" s="15"/>
      <c r="T49" s="15"/>
      <c r="U49" s="15"/>
      <c r="V49" s="15"/>
      <c r="W49" s="15"/>
      <c r="X49" s="15"/>
      <c r="Y49" s="15"/>
    </row>
    <row r="50" spans="1:25" ht="14.25">
      <c r="A50" s="35">
        <f t="shared" si="3"/>
        <v>34</v>
      </c>
      <c r="B50" s="20" t="s">
        <v>367</v>
      </c>
      <c r="C50" s="15">
        <v>0</v>
      </c>
      <c r="D50" s="15">
        <v>0</v>
      </c>
      <c r="E50" s="15">
        <f>-C50</f>
        <v>0</v>
      </c>
      <c r="F50" s="15">
        <f>-D50</f>
        <v>0</v>
      </c>
      <c r="G50" s="15">
        <f t="shared" si="7"/>
        <v>0</v>
      </c>
      <c r="H50" s="15"/>
      <c r="I50" s="15"/>
      <c r="J50" s="15"/>
      <c r="K50" s="15"/>
      <c r="L50" s="15"/>
      <c r="M50" s="15"/>
      <c r="P50" s="15"/>
      <c r="Q50" s="15"/>
      <c r="T50" s="15"/>
      <c r="U50" s="15"/>
      <c r="V50" s="15"/>
      <c r="W50" s="15"/>
      <c r="X50" s="15"/>
      <c r="Y50" s="15"/>
    </row>
    <row r="51" spans="1:25" ht="14.25">
      <c r="A51" s="35">
        <f t="shared" si="3"/>
        <v>35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P51" s="15"/>
      <c r="Q51" s="15"/>
      <c r="T51" s="15"/>
      <c r="U51" s="15"/>
      <c r="V51" s="15"/>
      <c r="W51" s="15"/>
      <c r="X51" s="15"/>
      <c r="Y51" s="15"/>
    </row>
    <row r="52" spans="1:25" ht="15" thickBot="1">
      <c r="A52" s="35">
        <f t="shared" si="3"/>
        <v>36</v>
      </c>
      <c r="B52" s="20" t="s">
        <v>204</v>
      </c>
      <c r="C52" s="18">
        <f>SUM(C17:C51)</f>
        <v>85157.45999999979</v>
      </c>
      <c r="D52" s="18">
        <f>SUM(D17:D51)</f>
        <v>399601.11</v>
      </c>
      <c r="E52" s="18">
        <f>SUM(E17:E51)</f>
        <v>-1150924.14</v>
      </c>
      <c r="F52" s="18">
        <f>SUM(F17:F51)</f>
        <v>-1116743.3</v>
      </c>
      <c r="G52" s="18">
        <f>SUM(G17:G51)</f>
        <v>-891454</v>
      </c>
      <c r="H52" s="18"/>
      <c r="I52" s="18">
        <f>SUM(I17:I51)</f>
        <v>0</v>
      </c>
      <c r="J52" s="18">
        <f>SUM(J17:J51)</f>
        <v>-59551</v>
      </c>
      <c r="K52" s="18">
        <f>SUM(K17:K51)</f>
        <v>-831904</v>
      </c>
      <c r="L52" s="18"/>
      <c r="M52" s="18">
        <f>SUM(M17:M51)</f>
        <v>0</v>
      </c>
      <c r="N52" s="18">
        <f>SUM(N17:N51)</f>
        <v>-92602.5</v>
      </c>
      <c r="O52" s="18">
        <f>SUM(O17:O51)</f>
        <v>-973164.1800000002</v>
      </c>
      <c r="P52" s="15"/>
      <c r="Q52" s="18">
        <f>SUM(Q17:Q51)</f>
        <v>0</v>
      </c>
      <c r="R52" s="88">
        <f>SUM(R17:R51)</f>
        <v>-26497.120000000014</v>
      </c>
      <c r="S52" s="88">
        <f>SUM(S17:S51)</f>
        <v>-690645.07</v>
      </c>
      <c r="T52" s="15"/>
      <c r="U52" s="15"/>
      <c r="V52" s="15"/>
      <c r="W52" s="15"/>
      <c r="X52" s="15"/>
      <c r="Y52" s="15"/>
    </row>
    <row r="53" spans="1:25" ht="15" thickTop="1">
      <c r="A53" s="35"/>
      <c r="B53" s="1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58"/>
      <c r="O53" s="58"/>
      <c r="P53" s="15"/>
      <c r="Q53" s="19"/>
      <c r="R53" s="58"/>
      <c r="S53" s="58"/>
      <c r="T53" s="15"/>
      <c r="U53" s="15"/>
      <c r="V53" s="15"/>
      <c r="W53" s="15"/>
      <c r="X53" s="15"/>
      <c r="Y53" s="15"/>
    </row>
    <row r="54" spans="1:25" ht="14.25">
      <c r="A54" s="34"/>
      <c r="B54" s="15"/>
      <c r="C54" s="15"/>
      <c r="D54" s="15" t="s">
        <v>67</v>
      </c>
      <c r="E54" s="15"/>
      <c r="F54" s="15"/>
      <c r="G54" s="15"/>
      <c r="H54" s="15"/>
      <c r="I54" s="15"/>
      <c r="J54" s="15"/>
      <c r="K54" s="15"/>
      <c r="L54" s="15"/>
      <c r="M54" s="15"/>
      <c r="P54" s="15"/>
      <c r="Q54" s="15"/>
      <c r="T54" s="15"/>
      <c r="U54" s="15"/>
      <c r="V54" s="15"/>
      <c r="W54" s="15"/>
      <c r="X54" s="15"/>
      <c r="Y54" s="15"/>
    </row>
    <row r="55" spans="1:25" ht="14.25">
      <c r="A55" s="34"/>
      <c r="B55" s="15"/>
      <c r="C55" s="15"/>
      <c r="D55" s="15" t="s">
        <v>67</v>
      </c>
      <c r="E55" s="15"/>
      <c r="F55" s="15"/>
      <c r="G55" s="15"/>
      <c r="H55" s="15"/>
      <c r="I55" s="15"/>
      <c r="J55" s="15"/>
      <c r="K55" s="15"/>
      <c r="L55" s="15"/>
      <c r="M55" s="15"/>
      <c r="P55" s="15"/>
      <c r="Q55" s="15"/>
      <c r="T55" s="15"/>
      <c r="U55" s="15"/>
      <c r="V55" s="15"/>
      <c r="W55" s="15"/>
      <c r="X55" s="15"/>
      <c r="Y55" s="15"/>
    </row>
    <row r="56" spans="1:25" ht="14.25">
      <c r="A56" s="34"/>
      <c r="B56" s="15"/>
      <c r="C56" s="20"/>
      <c r="D56" s="15"/>
      <c r="E56" s="15"/>
      <c r="F56" s="15"/>
      <c r="G56" s="15"/>
      <c r="H56" s="15"/>
      <c r="I56" s="15"/>
      <c r="J56" s="15"/>
      <c r="K56" s="15"/>
      <c r="L56" s="15"/>
      <c r="M56" s="15"/>
      <c r="P56" s="15"/>
      <c r="Q56" s="15"/>
      <c r="T56" s="15"/>
      <c r="U56" s="15"/>
      <c r="V56" s="15"/>
      <c r="W56" s="15"/>
      <c r="X56" s="15"/>
      <c r="Y56" s="15"/>
    </row>
    <row r="57" spans="1:25" ht="14.25">
      <c r="A57" s="34"/>
      <c r="B57" s="15"/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5"/>
      <c r="P57" s="15"/>
      <c r="Q57" s="15"/>
      <c r="T57" s="15"/>
      <c r="U57" s="15"/>
      <c r="V57" s="15"/>
      <c r="W57" s="15"/>
      <c r="X57" s="15"/>
      <c r="Y57" s="15"/>
    </row>
    <row r="58" spans="1:25" ht="14.25">
      <c r="A58" s="34"/>
      <c r="B58" s="15"/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5"/>
      <c r="P58" s="15"/>
      <c r="Q58" s="15"/>
      <c r="T58" s="15"/>
      <c r="U58" s="15"/>
      <c r="V58" s="15"/>
      <c r="W58" s="15"/>
      <c r="X58" s="15"/>
      <c r="Y58" s="15"/>
    </row>
    <row r="59" spans="1:25" ht="14.25">
      <c r="A59" s="34"/>
      <c r="B59" s="15"/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5"/>
      <c r="P59" s="15"/>
      <c r="Q59" s="15"/>
      <c r="T59" s="15"/>
      <c r="U59" s="15"/>
      <c r="V59" s="15"/>
      <c r="W59" s="15"/>
      <c r="X59" s="15"/>
      <c r="Y59" s="15"/>
    </row>
    <row r="60" spans="1:25" ht="14.25">
      <c r="A60" s="34"/>
      <c r="B60" s="15"/>
      <c r="C60" s="20"/>
      <c r="D60" s="15"/>
      <c r="E60" s="15"/>
      <c r="F60" s="15"/>
      <c r="G60" s="15"/>
      <c r="H60" s="15"/>
      <c r="I60" s="15"/>
      <c r="J60" s="15"/>
      <c r="K60" s="15"/>
      <c r="L60" s="15"/>
      <c r="M60" s="15"/>
      <c r="P60" s="15"/>
      <c r="Q60" s="15"/>
      <c r="T60" s="15"/>
      <c r="U60" s="15"/>
      <c r="V60" s="15"/>
      <c r="W60" s="15"/>
      <c r="X60" s="15"/>
      <c r="Y60" s="15"/>
    </row>
    <row r="61" spans="1:25" ht="14.25">
      <c r="A61" s="3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P61" s="15"/>
      <c r="Q61" s="15"/>
      <c r="T61" s="15"/>
      <c r="U61" s="15"/>
      <c r="V61" s="15"/>
      <c r="W61" s="15"/>
      <c r="X61" s="15"/>
      <c r="Y61" s="15"/>
    </row>
    <row r="62" spans="2:25" ht="14.25">
      <c r="B62" s="15"/>
      <c r="C62" s="20"/>
      <c r="D62" s="15"/>
      <c r="E62" s="15"/>
      <c r="F62" s="15"/>
      <c r="G62" s="15"/>
      <c r="H62" s="15"/>
      <c r="I62" s="15"/>
      <c r="J62" s="15"/>
      <c r="K62" s="15"/>
      <c r="L62" s="15"/>
      <c r="M62" s="15"/>
      <c r="P62" s="15"/>
      <c r="Q62" s="15"/>
      <c r="T62" s="15"/>
      <c r="U62" s="15"/>
      <c r="V62" s="15"/>
      <c r="W62" s="15"/>
      <c r="X62" s="15"/>
      <c r="Y62" s="15"/>
    </row>
    <row r="63" spans="2:25" ht="14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P63" s="15"/>
      <c r="Q63" s="15"/>
      <c r="T63" s="15"/>
      <c r="U63" s="15"/>
      <c r="V63" s="15"/>
      <c r="W63" s="15"/>
      <c r="X63" s="15"/>
      <c r="Y63" s="15"/>
    </row>
    <row r="64" spans="2:25" ht="14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P64" s="15"/>
      <c r="Q64" s="15"/>
      <c r="T64" s="15"/>
      <c r="U64" s="15"/>
      <c r="V64" s="15"/>
      <c r="W64" s="15"/>
      <c r="X64" s="15"/>
      <c r="Y64" s="15"/>
    </row>
    <row r="65" spans="2:25" ht="14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P65" s="15"/>
      <c r="Q65" s="15"/>
      <c r="T65" s="15"/>
      <c r="U65" s="15"/>
      <c r="V65" s="15"/>
      <c r="W65" s="15"/>
      <c r="X65" s="15"/>
      <c r="Y65" s="15"/>
    </row>
    <row r="66" spans="2:25" ht="14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P66" s="15"/>
      <c r="Q66" s="15"/>
      <c r="T66" s="15"/>
      <c r="U66" s="15"/>
      <c r="V66" s="15"/>
      <c r="W66" s="15"/>
      <c r="X66" s="15"/>
      <c r="Y66" s="15"/>
    </row>
    <row r="67" spans="2:25" ht="14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P67" s="15"/>
      <c r="Q67" s="15"/>
      <c r="T67" s="15"/>
      <c r="U67" s="15"/>
      <c r="V67" s="15"/>
      <c r="W67" s="15"/>
      <c r="X67" s="15"/>
      <c r="Y67" s="15"/>
    </row>
    <row r="68" spans="2:25" ht="14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P68" s="15"/>
      <c r="Q68" s="15"/>
      <c r="T68" s="15"/>
      <c r="U68" s="15"/>
      <c r="V68" s="15"/>
      <c r="W68" s="15"/>
      <c r="X68" s="15"/>
      <c r="Y68" s="15"/>
    </row>
    <row r="69" spans="2:25" ht="14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P69" s="15"/>
      <c r="Q69" s="15"/>
      <c r="T69" s="15"/>
      <c r="U69" s="15"/>
      <c r="V69" s="15"/>
      <c r="W69" s="15"/>
      <c r="X69" s="15"/>
      <c r="Y69" s="15"/>
    </row>
    <row r="70" spans="2:25" ht="14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P70" s="15"/>
      <c r="Q70" s="15"/>
      <c r="T70" s="15"/>
      <c r="U70" s="15"/>
      <c r="V70" s="15"/>
      <c r="W70" s="15"/>
      <c r="X70" s="15"/>
      <c r="Y70" s="15"/>
    </row>
    <row r="71" spans="2:25" ht="14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P71" s="15"/>
      <c r="Q71" s="15"/>
      <c r="T71" s="15"/>
      <c r="U71" s="15"/>
      <c r="V71" s="15"/>
      <c r="W71" s="15"/>
      <c r="X71" s="15"/>
      <c r="Y71" s="15"/>
    </row>
    <row r="72" spans="2:25" ht="14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P72" s="15"/>
      <c r="Q72" s="15"/>
      <c r="T72" s="15"/>
      <c r="U72" s="15"/>
      <c r="V72" s="15"/>
      <c r="W72" s="15"/>
      <c r="X72" s="15"/>
      <c r="Y72" s="15"/>
    </row>
    <row r="73" spans="2:25" ht="14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P73" s="15"/>
      <c r="Q73" s="15"/>
      <c r="T73" s="15"/>
      <c r="U73" s="15"/>
      <c r="V73" s="15"/>
      <c r="W73" s="15"/>
      <c r="X73" s="15"/>
      <c r="Y73" s="15"/>
    </row>
    <row r="74" spans="2:25" ht="14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P74" s="15"/>
      <c r="Q74" s="15"/>
      <c r="T74" s="15"/>
      <c r="U74" s="15"/>
      <c r="V74" s="15"/>
      <c r="W74" s="15"/>
      <c r="X74" s="15"/>
      <c r="Y74" s="15"/>
    </row>
    <row r="75" spans="2:25" ht="14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P75" s="15"/>
      <c r="Q75" s="15"/>
      <c r="T75" s="15"/>
      <c r="U75" s="15"/>
      <c r="V75" s="15"/>
      <c r="W75" s="15"/>
      <c r="X75" s="15"/>
      <c r="Y75" s="15"/>
    </row>
    <row r="76" spans="2:25" ht="14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P76" s="15"/>
      <c r="Q76" s="15"/>
      <c r="T76" s="15"/>
      <c r="U76" s="15"/>
      <c r="V76" s="15"/>
      <c r="W76" s="15"/>
      <c r="X76" s="15"/>
      <c r="Y76" s="15"/>
    </row>
    <row r="77" spans="2:25" ht="14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P77" s="15"/>
      <c r="Q77" s="15"/>
      <c r="T77" s="15"/>
      <c r="U77" s="15"/>
      <c r="V77" s="15"/>
      <c r="W77" s="15"/>
      <c r="X77" s="15"/>
      <c r="Y77" s="15"/>
    </row>
    <row r="78" spans="2:25" ht="14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P78" s="15"/>
      <c r="Q78" s="15"/>
      <c r="T78" s="15"/>
      <c r="U78" s="15"/>
      <c r="V78" s="15"/>
      <c r="W78" s="15"/>
      <c r="X78" s="15"/>
      <c r="Y78" s="15"/>
    </row>
    <row r="79" spans="2:25" ht="14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P79" s="15"/>
      <c r="Q79" s="15"/>
      <c r="T79" s="15"/>
      <c r="U79" s="15"/>
      <c r="V79" s="15"/>
      <c r="W79" s="15"/>
      <c r="X79" s="15"/>
      <c r="Y79" s="15"/>
    </row>
    <row r="80" spans="2:25" ht="14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P80" s="15"/>
      <c r="Q80" s="15"/>
      <c r="T80" s="15"/>
      <c r="U80" s="15"/>
      <c r="V80" s="15"/>
      <c r="W80" s="15"/>
      <c r="X80" s="15"/>
      <c r="Y80" s="15"/>
    </row>
    <row r="81" spans="2:25" ht="14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P81" s="15"/>
      <c r="Q81" s="15"/>
      <c r="T81" s="15"/>
      <c r="U81" s="15"/>
      <c r="V81" s="15"/>
      <c r="W81" s="15"/>
      <c r="X81" s="15"/>
      <c r="Y81" s="15"/>
    </row>
    <row r="82" spans="2:25" ht="14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P82" s="15"/>
      <c r="Q82" s="15"/>
      <c r="T82" s="15"/>
      <c r="U82" s="15"/>
      <c r="V82" s="15"/>
      <c r="W82" s="15"/>
      <c r="X82" s="15"/>
      <c r="Y82" s="15"/>
    </row>
    <row r="83" spans="2:25" ht="14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P83" s="15"/>
      <c r="Q83" s="15"/>
      <c r="T83" s="15"/>
      <c r="U83" s="15"/>
      <c r="V83" s="15"/>
      <c r="W83" s="15"/>
      <c r="X83" s="15"/>
      <c r="Y83" s="15"/>
    </row>
    <row r="84" spans="2:25" ht="14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P84" s="15"/>
      <c r="Q84" s="15"/>
      <c r="T84" s="15"/>
      <c r="U84" s="15"/>
      <c r="V84" s="15"/>
      <c r="W84" s="15"/>
      <c r="X84" s="15"/>
      <c r="Y84" s="15"/>
    </row>
    <row r="85" spans="2:25" ht="14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P85" s="15"/>
      <c r="Q85" s="15"/>
      <c r="T85" s="15"/>
      <c r="U85" s="15"/>
      <c r="V85" s="15"/>
      <c r="W85" s="15"/>
      <c r="X85" s="15"/>
      <c r="Y85" s="15"/>
    </row>
    <row r="86" spans="2:25" ht="14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P86" s="15"/>
      <c r="Q86" s="15"/>
      <c r="T86" s="15"/>
      <c r="U86" s="15"/>
      <c r="V86" s="15"/>
      <c r="W86" s="15"/>
      <c r="X86" s="15"/>
      <c r="Y86" s="15"/>
    </row>
    <row r="87" spans="2:25" ht="14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P87" s="15"/>
      <c r="Q87" s="15"/>
      <c r="T87" s="15"/>
      <c r="U87" s="15"/>
      <c r="V87" s="15"/>
      <c r="W87" s="15"/>
      <c r="X87" s="15"/>
      <c r="Y87" s="15"/>
    </row>
    <row r="88" spans="2:25" ht="14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P88" s="15"/>
      <c r="Q88" s="15"/>
      <c r="T88" s="15"/>
      <c r="U88" s="15"/>
      <c r="V88" s="15"/>
      <c r="W88" s="15"/>
      <c r="X88" s="15"/>
      <c r="Y88" s="15"/>
    </row>
    <row r="89" spans="2:25" ht="14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P89" s="15"/>
      <c r="Q89" s="15"/>
      <c r="T89" s="15"/>
      <c r="U89" s="15"/>
      <c r="V89" s="15"/>
      <c r="W89" s="15"/>
      <c r="X89" s="15"/>
      <c r="Y89" s="15"/>
    </row>
    <row r="90" spans="2:25" ht="14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P90" s="15"/>
      <c r="Q90" s="15"/>
      <c r="T90" s="15"/>
      <c r="U90" s="15"/>
      <c r="V90" s="15"/>
      <c r="W90" s="15"/>
      <c r="X90" s="15"/>
      <c r="Y90" s="15"/>
    </row>
    <row r="91" spans="2:25" ht="14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P91" s="15"/>
      <c r="Q91" s="15"/>
      <c r="T91" s="15"/>
      <c r="U91" s="15"/>
      <c r="V91" s="15"/>
      <c r="W91" s="15"/>
      <c r="X91" s="15"/>
      <c r="Y91" s="15"/>
    </row>
    <row r="92" spans="2:25" ht="14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P92" s="15"/>
      <c r="Q92" s="15"/>
      <c r="T92" s="15"/>
      <c r="U92" s="15"/>
      <c r="V92" s="15"/>
      <c r="W92" s="15"/>
      <c r="X92" s="15"/>
      <c r="Y92" s="15"/>
    </row>
    <row r="93" spans="2:25" ht="14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P93" s="15"/>
      <c r="Q93" s="15"/>
      <c r="T93" s="15"/>
      <c r="U93" s="15"/>
      <c r="V93" s="15"/>
      <c r="W93" s="15"/>
      <c r="X93" s="15"/>
      <c r="Y93" s="15"/>
    </row>
    <row r="94" spans="2:25" ht="14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P94" s="15"/>
      <c r="Q94" s="15"/>
      <c r="T94" s="15"/>
      <c r="U94" s="15"/>
      <c r="V94" s="15"/>
      <c r="W94" s="15"/>
      <c r="X94" s="15"/>
      <c r="Y94" s="15"/>
    </row>
    <row r="95" spans="2:25" ht="14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P95" s="15"/>
      <c r="Q95" s="15"/>
      <c r="T95" s="15"/>
      <c r="U95" s="15"/>
      <c r="V95" s="15"/>
      <c r="W95" s="15"/>
      <c r="X95" s="15"/>
      <c r="Y95" s="15"/>
    </row>
    <row r="96" spans="2:25" ht="14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P96" s="15"/>
      <c r="Q96" s="15"/>
      <c r="T96" s="15"/>
      <c r="U96" s="15"/>
      <c r="V96" s="15"/>
      <c r="W96" s="15"/>
      <c r="X96" s="15"/>
      <c r="Y96" s="15"/>
    </row>
    <row r="97" spans="2:25" ht="14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P97" s="15"/>
      <c r="Q97" s="15"/>
      <c r="T97" s="15"/>
      <c r="U97" s="15"/>
      <c r="V97" s="15"/>
      <c r="W97" s="15"/>
      <c r="X97" s="15"/>
      <c r="Y97" s="15"/>
    </row>
    <row r="98" spans="2:25" ht="14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P98" s="15"/>
      <c r="Q98" s="15"/>
      <c r="T98" s="15"/>
      <c r="U98" s="15"/>
      <c r="V98" s="15"/>
      <c r="W98" s="15"/>
      <c r="X98" s="15"/>
      <c r="Y98" s="15"/>
    </row>
    <row r="99" spans="2:25" ht="14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P99" s="15"/>
      <c r="Q99" s="15"/>
      <c r="T99" s="15"/>
      <c r="U99" s="15"/>
      <c r="V99" s="15"/>
      <c r="W99" s="15"/>
      <c r="X99" s="15"/>
      <c r="Y99" s="15"/>
    </row>
    <row r="100" spans="2:25" ht="14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P100" s="15"/>
      <c r="Q100" s="15"/>
      <c r="T100" s="15"/>
      <c r="U100" s="15"/>
      <c r="V100" s="15"/>
      <c r="W100" s="15"/>
      <c r="X100" s="15"/>
      <c r="Y100" s="15"/>
    </row>
    <row r="101" spans="2:25" ht="14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P101" s="15"/>
      <c r="Q101" s="15"/>
      <c r="T101" s="15"/>
      <c r="U101" s="15"/>
      <c r="V101" s="15"/>
      <c r="W101" s="15"/>
      <c r="X101" s="15"/>
      <c r="Y101" s="15"/>
    </row>
    <row r="102" spans="2:25" ht="14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P102" s="15"/>
      <c r="Q102" s="15"/>
      <c r="T102" s="15"/>
      <c r="U102" s="15"/>
      <c r="V102" s="15"/>
      <c r="W102" s="15"/>
      <c r="X102" s="15"/>
      <c r="Y102" s="15"/>
    </row>
    <row r="103" spans="2:25" ht="14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P103" s="15"/>
      <c r="Q103" s="15"/>
      <c r="T103" s="15"/>
      <c r="U103" s="15"/>
      <c r="V103" s="15"/>
      <c r="W103" s="15"/>
      <c r="X103" s="15"/>
      <c r="Y103" s="15"/>
    </row>
    <row r="104" spans="2:25" ht="14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P104" s="15"/>
      <c r="Q104" s="15"/>
      <c r="T104" s="15"/>
      <c r="U104" s="15"/>
      <c r="V104" s="15"/>
      <c r="W104" s="15"/>
      <c r="X104" s="15"/>
      <c r="Y104" s="15"/>
    </row>
    <row r="105" spans="2:25" ht="14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P105" s="15"/>
      <c r="Q105" s="15"/>
      <c r="T105" s="15"/>
      <c r="U105" s="15"/>
      <c r="V105" s="15"/>
      <c r="W105" s="15"/>
      <c r="X105" s="15"/>
      <c r="Y105" s="15"/>
    </row>
    <row r="106" spans="2:25" ht="14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P106" s="15"/>
      <c r="Q106" s="15"/>
      <c r="T106" s="15"/>
      <c r="U106" s="15"/>
      <c r="V106" s="15"/>
      <c r="W106" s="15"/>
      <c r="X106" s="15"/>
      <c r="Y106" s="15"/>
    </row>
    <row r="107" spans="2:25" ht="14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P107" s="15"/>
      <c r="Q107" s="15"/>
      <c r="T107" s="15"/>
      <c r="U107" s="15"/>
      <c r="V107" s="15"/>
      <c r="W107" s="15"/>
      <c r="X107" s="15"/>
      <c r="Y107" s="15"/>
    </row>
    <row r="108" spans="2:25" ht="14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P108" s="15"/>
      <c r="Q108" s="15"/>
      <c r="T108" s="15"/>
      <c r="U108" s="15"/>
      <c r="V108" s="15"/>
      <c r="W108" s="15"/>
      <c r="X108" s="15"/>
      <c r="Y108" s="15"/>
    </row>
    <row r="109" spans="2:25" ht="14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P109" s="15"/>
      <c r="Q109" s="15"/>
      <c r="T109" s="15"/>
      <c r="U109" s="15"/>
      <c r="V109" s="15"/>
      <c r="W109" s="15"/>
      <c r="X109" s="15"/>
      <c r="Y109" s="15"/>
    </row>
    <row r="110" spans="2:25" ht="14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P110" s="15"/>
      <c r="Q110" s="15"/>
      <c r="T110" s="15"/>
      <c r="U110" s="15"/>
      <c r="V110" s="15"/>
      <c r="W110" s="15"/>
      <c r="X110" s="15"/>
      <c r="Y110" s="15"/>
    </row>
    <row r="111" spans="2:25" ht="14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P111" s="15"/>
      <c r="Q111" s="15"/>
      <c r="T111" s="15"/>
      <c r="U111" s="15"/>
      <c r="V111" s="15"/>
      <c r="W111" s="15"/>
      <c r="X111" s="15"/>
      <c r="Y111" s="15"/>
    </row>
    <row r="112" spans="2:25" ht="14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P112" s="15"/>
      <c r="Q112" s="15"/>
      <c r="T112" s="15"/>
      <c r="U112" s="15"/>
      <c r="V112" s="15"/>
      <c r="W112" s="15"/>
      <c r="X112" s="15"/>
      <c r="Y112" s="15"/>
    </row>
    <row r="113" spans="2:25" ht="14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P113" s="15"/>
      <c r="Q113" s="15"/>
      <c r="T113" s="15"/>
      <c r="U113" s="15"/>
      <c r="V113" s="15"/>
      <c r="W113" s="15"/>
      <c r="X113" s="15"/>
      <c r="Y113" s="15"/>
    </row>
    <row r="114" spans="2:25" ht="14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P114" s="15"/>
      <c r="Q114" s="15"/>
      <c r="T114" s="15"/>
      <c r="U114" s="15"/>
      <c r="V114" s="15"/>
      <c r="W114" s="15"/>
      <c r="X114" s="15"/>
      <c r="Y114" s="15"/>
    </row>
    <row r="115" spans="2:25" ht="14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P115" s="15"/>
      <c r="Q115" s="15"/>
      <c r="T115" s="15"/>
      <c r="U115" s="15"/>
      <c r="V115" s="15"/>
      <c r="W115" s="15"/>
      <c r="X115" s="15"/>
      <c r="Y115" s="15"/>
    </row>
    <row r="116" spans="2:25" ht="14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P116" s="15"/>
      <c r="Q116" s="15"/>
      <c r="T116" s="15"/>
      <c r="U116" s="15"/>
      <c r="V116" s="15"/>
      <c r="W116" s="15"/>
      <c r="X116" s="15"/>
      <c r="Y116" s="15"/>
    </row>
    <row r="117" spans="2:25" ht="14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P117" s="15"/>
      <c r="Q117" s="15"/>
      <c r="T117" s="15"/>
      <c r="U117" s="15"/>
      <c r="V117" s="15"/>
      <c r="W117" s="15"/>
      <c r="X117" s="15"/>
      <c r="Y117" s="15"/>
    </row>
    <row r="118" spans="2:25" ht="14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P118" s="15"/>
      <c r="Q118" s="15"/>
      <c r="T118" s="15"/>
      <c r="U118" s="15"/>
      <c r="V118" s="15"/>
      <c r="W118" s="15"/>
      <c r="X118" s="15"/>
      <c r="Y118" s="15"/>
    </row>
    <row r="119" spans="2:25" ht="14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P119" s="15"/>
      <c r="Q119" s="15"/>
      <c r="T119" s="15"/>
      <c r="U119" s="15"/>
      <c r="V119" s="15"/>
      <c r="W119" s="15"/>
      <c r="X119" s="15"/>
      <c r="Y119" s="15"/>
    </row>
    <row r="120" spans="2:25" ht="14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P120" s="15"/>
      <c r="Q120" s="15"/>
      <c r="T120" s="15"/>
      <c r="U120" s="15"/>
      <c r="V120" s="15"/>
      <c r="W120" s="15"/>
      <c r="X120" s="15"/>
      <c r="Y120" s="15"/>
    </row>
    <row r="121" spans="2:25" ht="14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P121" s="15"/>
      <c r="Q121" s="15"/>
      <c r="T121" s="15"/>
      <c r="U121" s="15"/>
      <c r="V121" s="15"/>
      <c r="W121" s="15"/>
      <c r="X121" s="15"/>
      <c r="Y121" s="15"/>
    </row>
    <row r="122" spans="2:25" ht="14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P122" s="15"/>
      <c r="Q122" s="15"/>
      <c r="T122" s="15"/>
      <c r="U122" s="15"/>
      <c r="V122" s="15"/>
      <c r="W122" s="15"/>
      <c r="X122" s="15"/>
      <c r="Y122" s="15"/>
    </row>
    <row r="123" spans="2:25" ht="14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P123" s="15"/>
      <c r="Q123" s="15"/>
      <c r="T123" s="15"/>
      <c r="U123" s="15"/>
      <c r="V123" s="15"/>
      <c r="W123" s="15"/>
      <c r="X123" s="15"/>
      <c r="Y123" s="15"/>
    </row>
    <row r="124" spans="2:25" ht="14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P124" s="15"/>
      <c r="Q124" s="15"/>
      <c r="T124" s="15"/>
      <c r="U124" s="15"/>
      <c r="V124" s="15"/>
      <c r="W124" s="15"/>
      <c r="X124" s="15"/>
      <c r="Y124" s="15"/>
    </row>
    <row r="125" spans="2:25" ht="14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P125" s="15"/>
      <c r="Q125" s="15"/>
      <c r="T125" s="15"/>
      <c r="U125" s="15"/>
      <c r="V125" s="15"/>
      <c r="W125" s="15"/>
      <c r="X125" s="15"/>
      <c r="Y125" s="15"/>
    </row>
    <row r="126" spans="2:25" ht="14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P126" s="15"/>
      <c r="Q126" s="15"/>
      <c r="T126" s="15"/>
      <c r="U126" s="15"/>
      <c r="V126" s="15"/>
      <c r="W126" s="15"/>
      <c r="X126" s="15"/>
      <c r="Y126" s="15"/>
    </row>
    <row r="127" spans="2:25" ht="14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P127" s="15"/>
      <c r="Q127" s="15"/>
      <c r="T127" s="15"/>
      <c r="U127" s="15"/>
      <c r="V127" s="15"/>
      <c r="W127" s="15"/>
      <c r="X127" s="15"/>
      <c r="Y127" s="15"/>
    </row>
    <row r="128" spans="2:25" ht="14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P128" s="15"/>
      <c r="Q128" s="15"/>
      <c r="T128" s="15"/>
      <c r="U128" s="15"/>
      <c r="V128" s="15"/>
      <c r="W128" s="15"/>
      <c r="X128" s="15"/>
      <c r="Y128" s="15"/>
    </row>
    <row r="129" spans="2:25" ht="14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P129" s="15"/>
      <c r="Q129" s="15"/>
      <c r="T129" s="15"/>
      <c r="U129" s="15"/>
      <c r="V129" s="15"/>
      <c r="W129" s="15"/>
      <c r="X129" s="15"/>
      <c r="Y129" s="15"/>
    </row>
    <row r="130" spans="2:25" ht="14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P130" s="15"/>
      <c r="Q130" s="15"/>
      <c r="T130" s="15"/>
      <c r="U130" s="15"/>
      <c r="V130" s="15"/>
      <c r="W130" s="15"/>
      <c r="X130" s="15"/>
      <c r="Y130" s="15"/>
    </row>
    <row r="131" spans="2:25" ht="14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P131" s="15"/>
      <c r="Q131" s="15"/>
      <c r="T131" s="15"/>
      <c r="U131" s="15"/>
      <c r="V131" s="15"/>
      <c r="W131" s="15"/>
      <c r="X131" s="15"/>
      <c r="Y131" s="15"/>
    </row>
    <row r="132" spans="2:25" ht="14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P132" s="15"/>
      <c r="Q132" s="15"/>
      <c r="T132" s="15"/>
      <c r="U132" s="15"/>
      <c r="V132" s="15"/>
      <c r="W132" s="15"/>
      <c r="X132" s="15"/>
      <c r="Y132" s="15"/>
    </row>
    <row r="133" spans="2:25" ht="14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P133" s="15"/>
      <c r="Q133" s="15"/>
      <c r="T133" s="15"/>
      <c r="U133" s="15"/>
      <c r="V133" s="15"/>
      <c r="W133" s="15"/>
      <c r="X133" s="15"/>
      <c r="Y133" s="15"/>
    </row>
    <row r="134" spans="2:25" ht="14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P134" s="15"/>
      <c r="Q134" s="15"/>
      <c r="T134" s="15"/>
      <c r="U134" s="15"/>
      <c r="V134" s="15"/>
      <c r="W134" s="15"/>
      <c r="X134" s="15"/>
      <c r="Y134" s="15"/>
    </row>
    <row r="135" spans="2:25" ht="14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P135" s="15"/>
      <c r="Q135" s="15"/>
      <c r="T135" s="15"/>
      <c r="U135" s="15"/>
      <c r="V135" s="15"/>
      <c r="W135" s="15"/>
      <c r="X135" s="15"/>
      <c r="Y135" s="15"/>
    </row>
    <row r="136" spans="2:25" ht="14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P136" s="15"/>
      <c r="Q136" s="15"/>
      <c r="T136" s="15"/>
      <c r="U136" s="15"/>
      <c r="V136" s="15"/>
      <c r="W136" s="15"/>
      <c r="X136" s="15"/>
      <c r="Y136" s="15"/>
    </row>
    <row r="137" spans="2:25" ht="14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P137" s="15"/>
      <c r="Q137" s="15"/>
      <c r="T137" s="15"/>
      <c r="U137" s="15"/>
      <c r="V137" s="15"/>
      <c r="W137" s="15"/>
      <c r="X137" s="15"/>
      <c r="Y137" s="15"/>
    </row>
    <row r="138" spans="2:25" ht="14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P138" s="15"/>
      <c r="Q138" s="15"/>
      <c r="T138" s="15"/>
      <c r="U138" s="15"/>
      <c r="V138" s="15"/>
      <c r="W138" s="15"/>
      <c r="X138" s="15"/>
      <c r="Y138" s="15"/>
    </row>
    <row r="139" spans="2:25" ht="14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P139" s="15"/>
      <c r="Q139" s="15"/>
      <c r="T139" s="15"/>
      <c r="U139" s="15"/>
      <c r="V139" s="15"/>
      <c r="W139" s="15"/>
      <c r="X139" s="15"/>
      <c r="Y139" s="15"/>
    </row>
    <row r="140" spans="2:25" ht="14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P140" s="15"/>
      <c r="Q140" s="15"/>
      <c r="T140" s="15"/>
      <c r="U140" s="15"/>
      <c r="V140" s="15"/>
      <c r="W140" s="15"/>
      <c r="X140" s="15"/>
      <c r="Y140" s="15"/>
    </row>
    <row r="141" spans="2:25" ht="14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P141" s="15"/>
      <c r="Q141" s="15"/>
      <c r="T141" s="15"/>
      <c r="U141" s="15"/>
      <c r="V141" s="15"/>
      <c r="W141" s="15"/>
      <c r="X141" s="15"/>
      <c r="Y141" s="15"/>
    </row>
    <row r="142" spans="2:25" ht="14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P142" s="15"/>
      <c r="Q142" s="15"/>
      <c r="T142" s="15"/>
      <c r="U142" s="15"/>
      <c r="V142" s="15"/>
      <c r="W142" s="15"/>
      <c r="X142" s="15"/>
      <c r="Y142" s="15"/>
    </row>
    <row r="143" spans="2:25" ht="14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P143" s="15"/>
      <c r="Q143" s="15"/>
      <c r="T143" s="15"/>
      <c r="U143" s="15"/>
      <c r="V143" s="15"/>
      <c r="W143" s="15"/>
      <c r="X143" s="15"/>
      <c r="Y143" s="15"/>
    </row>
    <row r="144" spans="2:25" ht="14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P144" s="15"/>
      <c r="Q144" s="15"/>
      <c r="T144" s="15"/>
      <c r="U144" s="15"/>
      <c r="V144" s="15"/>
      <c r="W144" s="15"/>
      <c r="X144" s="15"/>
      <c r="Y144" s="15"/>
    </row>
    <row r="145" spans="2:25" ht="14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P145" s="15"/>
      <c r="Q145" s="15"/>
      <c r="T145" s="15"/>
      <c r="U145" s="15"/>
      <c r="V145" s="15"/>
      <c r="W145" s="15"/>
      <c r="X145" s="15"/>
      <c r="Y145" s="15"/>
    </row>
    <row r="146" spans="2:25" ht="14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P146" s="15"/>
      <c r="Q146" s="15"/>
      <c r="T146" s="15"/>
      <c r="U146" s="15"/>
      <c r="V146" s="15"/>
      <c r="W146" s="15"/>
      <c r="X146" s="15"/>
      <c r="Y146" s="15"/>
    </row>
    <row r="147" spans="2:25" ht="14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P147" s="15"/>
      <c r="Q147" s="15"/>
      <c r="T147" s="15"/>
      <c r="U147" s="15"/>
      <c r="V147" s="15"/>
      <c r="W147" s="15"/>
      <c r="X147" s="15"/>
      <c r="Y147" s="15"/>
    </row>
    <row r="148" spans="2:25" ht="14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P148" s="15"/>
      <c r="Q148" s="15"/>
      <c r="T148" s="15"/>
      <c r="U148" s="15"/>
      <c r="V148" s="15"/>
      <c r="W148" s="15"/>
      <c r="X148" s="15"/>
      <c r="Y148" s="15"/>
    </row>
    <row r="149" spans="2:25" ht="14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P149" s="15"/>
      <c r="Q149" s="15"/>
      <c r="T149" s="15"/>
      <c r="U149" s="15"/>
      <c r="V149" s="15"/>
      <c r="W149" s="15"/>
      <c r="X149" s="15"/>
      <c r="Y149" s="15"/>
    </row>
    <row r="150" spans="2:25" ht="14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P150" s="15"/>
      <c r="Q150" s="15"/>
      <c r="T150" s="15"/>
      <c r="U150" s="15"/>
      <c r="V150" s="15"/>
      <c r="W150" s="15"/>
      <c r="X150" s="15"/>
      <c r="Y150" s="15"/>
    </row>
    <row r="151" spans="2:25" ht="14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P151" s="15"/>
      <c r="Q151" s="15"/>
      <c r="T151" s="15"/>
      <c r="U151" s="15"/>
      <c r="V151" s="15"/>
      <c r="W151" s="15"/>
      <c r="X151" s="15"/>
      <c r="Y151" s="15"/>
    </row>
    <row r="152" spans="2:25" ht="14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P152" s="15"/>
      <c r="Q152" s="15"/>
      <c r="T152" s="15"/>
      <c r="U152" s="15"/>
      <c r="V152" s="15"/>
      <c r="W152" s="15"/>
      <c r="X152" s="15"/>
      <c r="Y152" s="15"/>
    </row>
    <row r="153" spans="2:25" ht="14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P153" s="15"/>
      <c r="Q153" s="15"/>
      <c r="T153" s="15"/>
      <c r="U153" s="15"/>
      <c r="V153" s="15"/>
      <c r="W153" s="15"/>
      <c r="X153" s="15"/>
      <c r="Y153" s="15"/>
    </row>
    <row r="154" spans="2:25" ht="14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P154" s="15"/>
      <c r="Q154" s="15"/>
      <c r="T154" s="15"/>
      <c r="U154" s="15"/>
      <c r="V154" s="15"/>
      <c r="W154" s="15"/>
      <c r="X154" s="15"/>
      <c r="Y154" s="15"/>
    </row>
    <row r="155" spans="2:25" ht="14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P155" s="15"/>
      <c r="Q155" s="15"/>
      <c r="T155" s="15"/>
      <c r="U155" s="15"/>
      <c r="V155" s="15"/>
      <c r="W155" s="15"/>
      <c r="X155" s="15"/>
      <c r="Y155" s="15"/>
    </row>
    <row r="156" spans="2:25" ht="14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P156" s="15"/>
      <c r="Q156" s="15"/>
      <c r="T156" s="15"/>
      <c r="U156" s="15"/>
      <c r="V156" s="15"/>
      <c r="W156" s="15"/>
      <c r="X156" s="15"/>
      <c r="Y156" s="15"/>
    </row>
    <row r="157" spans="2:25" ht="14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P157" s="15"/>
      <c r="Q157" s="15"/>
      <c r="T157" s="15"/>
      <c r="U157" s="15"/>
      <c r="V157" s="15"/>
      <c r="W157" s="15"/>
      <c r="X157" s="15"/>
      <c r="Y157" s="15"/>
    </row>
    <row r="158" spans="2:25" ht="14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P158" s="15"/>
      <c r="Q158" s="15"/>
      <c r="T158" s="15"/>
      <c r="U158" s="15"/>
      <c r="V158" s="15"/>
      <c r="W158" s="15"/>
      <c r="X158" s="15"/>
      <c r="Y158" s="15"/>
    </row>
    <row r="159" spans="2:25" ht="14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P159" s="15"/>
      <c r="Q159" s="15"/>
      <c r="T159" s="15"/>
      <c r="U159" s="15"/>
      <c r="V159" s="15"/>
      <c r="W159" s="15"/>
      <c r="X159" s="15"/>
      <c r="Y159" s="15"/>
    </row>
    <row r="160" spans="2:25" ht="14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P160" s="15"/>
      <c r="Q160" s="15"/>
      <c r="T160" s="15"/>
      <c r="U160" s="15"/>
      <c r="V160" s="15"/>
      <c r="W160" s="15"/>
      <c r="X160" s="15"/>
      <c r="Y160" s="15"/>
    </row>
    <row r="161" spans="2:25" ht="14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P161" s="15"/>
      <c r="Q161" s="15"/>
      <c r="T161" s="15"/>
      <c r="U161" s="15"/>
      <c r="V161" s="15"/>
      <c r="W161" s="15"/>
      <c r="X161" s="15"/>
      <c r="Y161" s="15"/>
    </row>
    <row r="162" spans="2:25" ht="14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P162" s="15"/>
      <c r="Q162" s="15"/>
      <c r="T162" s="15"/>
      <c r="U162" s="15"/>
      <c r="V162" s="15"/>
      <c r="W162" s="15"/>
      <c r="X162" s="15"/>
      <c r="Y162" s="15"/>
    </row>
    <row r="163" spans="2:25" ht="14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P163" s="15"/>
      <c r="Q163" s="15"/>
      <c r="T163" s="15"/>
      <c r="U163" s="15"/>
      <c r="V163" s="15"/>
      <c r="W163" s="15"/>
      <c r="X163" s="15"/>
      <c r="Y163" s="15"/>
    </row>
    <row r="164" spans="2:25" ht="14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P164" s="15"/>
      <c r="Q164" s="15"/>
      <c r="T164" s="15"/>
      <c r="U164" s="15"/>
      <c r="V164" s="15"/>
      <c r="W164" s="15"/>
      <c r="X164" s="15"/>
      <c r="Y164" s="15"/>
    </row>
    <row r="165" spans="2:25" ht="14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P165" s="15"/>
      <c r="Q165" s="15"/>
      <c r="T165" s="15"/>
      <c r="U165" s="15"/>
      <c r="V165" s="15"/>
      <c r="W165" s="15"/>
      <c r="X165" s="15"/>
      <c r="Y165" s="15"/>
    </row>
    <row r="166" spans="2:25" ht="14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P166" s="15"/>
      <c r="Q166" s="15"/>
      <c r="T166" s="15"/>
      <c r="U166" s="15"/>
      <c r="V166" s="15"/>
      <c r="W166" s="15"/>
      <c r="X166" s="15"/>
      <c r="Y166" s="15"/>
    </row>
    <row r="167" spans="2:25" ht="14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P167" s="15"/>
      <c r="Q167" s="15"/>
      <c r="T167" s="15"/>
      <c r="U167" s="15"/>
      <c r="V167" s="15"/>
      <c r="W167" s="15"/>
      <c r="X167" s="15"/>
      <c r="Y167" s="15"/>
    </row>
    <row r="168" spans="2:25" ht="14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P168" s="15"/>
      <c r="Q168" s="15"/>
      <c r="T168" s="15"/>
      <c r="U168" s="15"/>
      <c r="V168" s="15"/>
      <c r="W168" s="15"/>
      <c r="X168" s="15"/>
      <c r="Y168" s="15"/>
    </row>
    <row r="169" spans="2:25" ht="14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P169" s="15"/>
      <c r="Q169" s="15"/>
      <c r="T169" s="15"/>
      <c r="U169" s="15"/>
      <c r="V169" s="15"/>
      <c r="W169" s="15"/>
      <c r="X169" s="15"/>
      <c r="Y169" s="15"/>
    </row>
    <row r="170" spans="2:25" ht="14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P170" s="15"/>
      <c r="Q170" s="15"/>
      <c r="T170" s="15"/>
      <c r="U170" s="15"/>
      <c r="V170" s="15"/>
      <c r="W170" s="15"/>
      <c r="X170" s="15"/>
      <c r="Y170" s="15"/>
    </row>
    <row r="171" spans="2:25" ht="14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P171" s="15"/>
      <c r="Q171" s="15"/>
      <c r="T171" s="15"/>
      <c r="U171" s="15"/>
      <c r="V171" s="15"/>
      <c r="W171" s="15"/>
      <c r="X171" s="15"/>
      <c r="Y171" s="15"/>
    </row>
    <row r="172" spans="2:25" ht="14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P172" s="15"/>
      <c r="Q172" s="15"/>
      <c r="T172" s="15"/>
      <c r="U172" s="15"/>
      <c r="V172" s="15"/>
      <c r="W172" s="15"/>
      <c r="X172" s="15"/>
      <c r="Y172" s="15"/>
    </row>
    <row r="173" spans="2:25" ht="14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P173" s="15"/>
      <c r="Q173" s="15"/>
      <c r="T173" s="15"/>
      <c r="U173" s="15"/>
      <c r="V173" s="15"/>
      <c r="W173" s="15"/>
      <c r="X173" s="15"/>
      <c r="Y173" s="15"/>
    </row>
    <row r="174" spans="2:25" ht="14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P174" s="15"/>
      <c r="Q174" s="15"/>
      <c r="T174" s="15"/>
      <c r="U174" s="15"/>
      <c r="V174" s="15"/>
      <c r="W174" s="15"/>
      <c r="X174" s="15"/>
      <c r="Y174" s="15"/>
    </row>
    <row r="175" spans="2:25" ht="14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P175" s="15"/>
      <c r="Q175" s="15"/>
      <c r="T175" s="15"/>
      <c r="U175" s="15"/>
      <c r="V175" s="15"/>
      <c r="W175" s="15"/>
      <c r="X175" s="15"/>
      <c r="Y175" s="15"/>
    </row>
    <row r="176" spans="2:25" ht="14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P176" s="15"/>
      <c r="Q176" s="15"/>
      <c r="T176" s="15"/>
      <c r="U176" s="15"/>
      <c r="V176" s="15"/>
      <c r="W176" s="15"/>
      <c r="X176" s="15"/>
      <c r="Y176" s="15"/>
    </row>
    <row r="177" spans="2:25" ht="14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P177" s="15"/>
      <c r="Q177" s="15"/>
      <c r="T177" s="15"/>
      <c r="U177" s="15"/>
      <c r="V177" s="15"/>
      <c r="W177" s="15"/>
      <c r="X177" s="15"/>
      <c r="Y177" s="15"/>
    </row>
    <row r="178" spans="2:25" ht="14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P178" s="15"/>
      <c r="Q178" s="15"/>
      <c r="T178" s="15"/>
      <c r="U178" s="15"/>
      <c r="V178" s="15"/>
      <c r="W178" s="15"/>
      <c r="X178" s="15"/>
      <c r="Y178" s="15"/>
    </row>
    <row r="179" spans="2:25" ht="14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P179" s="15"/>
      <c r="Q179" s="15"/>
      <c r="T179" s="15"/>
      <c r="U179" s="15"/>
      <c r="V179" s="15"/>
      <c r="W179" s="15"/>
      <c r="X179" s="15"/>
      <c r="Y179" s="15"/>
    </row>
    <row r="180" spans="2:25" ht="14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P180" s="15"/>
      <c r="Q180" s="15"/>
      <c r="T180" s="15"/>
      <c r="U180" s="15"/>
      <c r="V180" s="15"/>
      <c r="W180" s="15"/>
      <c r="X180" s="15"/>
      <c r="Y180" s="15"/>
    </row>
    <row r="181" spans="2:25" ht="14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P181" s="15"/>
      <c r="Q181" s="15"/>
      <c r="T181" s="15"/>
      <c r="U181" s="15"/>
      <c r="V181" s="15"/>
      <c r="W181" s="15"/>
      <c r="X181" s="15"/>
      <c r="Y181" s="15"/>
    </row>
    <row r="182" spans="2:25" ht="14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P182" s="15"/>
      <c r="Q182" s="15"/>
      <c r="T182" s="15"/>
      <c r="U182" s="15"/>
      <c r="V182" s="15"/>
      <c r="W182" s="15"/>
      <c r="X182" s="15"/>
      <c r="Y182" s="15"/>
    </row>
    <row r="183" spans="2:25" ht="14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P183" s="15"/>
      <c r="Q183" s="15"/>
      <c r="T183" s="15"/>
      <c r="U183" s="15"/>
      <c r="V183" s="15"/>
      <c r="W183" s="15"/>
      <c r="X183" s="15"/>
      <c r="Y183" s="15"/>
    </row>
    <row r="184" spans="2:25" ht="14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P184" s="15"/>
      <c r="Q184" s="15"/>
      <c r="T184" s="15"/>
      <c r="U184" s="15"/>
      <c r="V184" s="15"/>
      <c r="W184" s="15"/>
      <c r="X184" s="15"/>
      <c r="Y184" s="15"/>
    </row>
    <row r="185" spans="2:25" ht="14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P185" s="15"/>
      <c r="Q185" s="15"/>
      <c r="T185" s="15"/>
      <c r="U185" s="15"/>
      <c r="V185" s="15"/>
      <c r="W185" s="15"/>
      <c r="X185" s="15"/>
      <c r="Y185" s="15"/>
    </row>
    <row r="186" spans="2:25" ht="14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P186" s="15"/>
      <c r="Q186" s="15"/>
      <c r="T186" s="15"/>
      <c r="U186" s="15"/>
      <c r="V186" s="15"/>
      <c r="W186" s="15"/>
      <c r="X186" s="15"/>
      <c r="Y186" s="15"/>
    </row>
    <row r="187" spans="2:25" ht="14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P187" s="15"/>
      <c r="Q187" s="15"/>
      <c r="T187" s="15"/>
      <c r="U187" s="15"/>
      <c r="V187" s="15"/>
      <c r="W187" s="15"/>
      <c r="X187" s="15"/>
      <c r="Y187" s="15"/>
    </row>
    <row r="188" spans="2:25" ht="14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P188" s="15"/>
      <c r="Q188" s="15"/>
      <c r="T188" s="15"/>
      <c r="U188" s="15"/>
      <c r="V188" s="15"/>
      <c r="W188" s="15"/>
      <c r="X188" s="15"/>
      <c r="Y188" s="15"/>
    </row>
    <row r="189" spans="2:25" ht="14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P189" s="15"/>
      <c r="Q189" s="15"/>
      <c r="T189" s="15"/>
      <c r="U189" s="15"/>
      <c r="V189" s="15"/>
      <c r="W189" s="15"/>
      <c r="X189" s="15"/>
      <c r="Y189" s="15"/>
    </row>
    <row r="190" spans="2:25" ht="14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P190" s="15"/>
      <c r="Q190" s="15"/>
      <c r="T190" s="15"/>
      <c r="U190" s="15"/>
      <c r="V190" s="15"/>
      <c r="W190" s="15"/>
      <c r="X190" s="15"/>
      <c r="Y190" s="15"/>
    </row>
    <row r="191" spans="2:25" ht="14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P191" s="15"/>
      <c r="Q191" s="15"/>
      <c r="T191" s="15"/>
      <c r="U191" s="15"/>
      <c r="V191" s="15"/>
      <c r="W191" s="15"/>
      <c r="X191" s="15"/>
      <c r="Y191" s="15"/>
    </row>
    <row r="192" spans="2:25" ht="14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P192" s="15"/>
      <c r="Q192" s="15"/>
      <c r="T192" s="15"/>
      <c r="U192" s="15"/>
      <c r="V192" s="15"/>
      <c r="W192" s="15"/>
      <c r="X192" s="15"/>
      <c r="Y192" s="15"/>
    </row>
    <row r="193" spans="2:25" ht="14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P193" s="15"/>
      <c r="Q193" s="15"/>
      <c r="T193" s="15"/>
      <c r="U193" s="15"/>
      <c r="V193" s="15"/>
      <c r="W193" s="15"/>
      <c r="X193" s="15"/>
      <c r="Y193" s="15"/>
    </row>
    <row r="194" spans="2:25" ht="14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P194" s="15"/>
      <c r="Q194" s="15"/>
      <c r="T194" s="15"/>
      <c r="U194" s="15"/>
      <c r="V194" s="15"/>
      <c r="W194" s="15"/>
      <c r="X194" s="15"/>
      <c r="Y194" s="15"/>
    </row>
    <row r="195" spans="2:25" ht="14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P195" s="15"/>
      <c r="Q195" s="15"/>
      <c r="T195" s="15"/>
      <c r="U195" s="15"/>
      <c r="V195" s="15"/>
      <c r="W195" s="15"/>
      <c r="X195" s="15"/>
      <c r="Y195" s="15"/>
    </row>
    <row r="196" spans="2:25" ht="14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P196" s="15"/>
      <c r="Q196" s="15"/>
      <c r="T196" s="15"/>
      <c r="U196" s="15"/>
      <c r="V196" s="15"/>
      <c r="W196" s="15"/>
      <c r="X196" s="15"/>
      <c r="Y196" s="15"/>
    </row>
    <row r="197" spans="2:25" ht="14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P197" s="15"/>
      <c r="Q197" s="15"/>
      <c r="T197" s="15"/>
      <c r="U197" s="15"/>
      <c r="V197" s="15"/>
      <c r="W197" s="15"/>
      <c r="X197" s="15"/>
      <c r="Y197" s="15"/>
    </row>
    <row r="198" spans="2:25" ht="14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P198" s="15"/>
      <c r="Q198" s="15"/>
      <c r="T198" s="15"/>
      <c r="U198" s="15"/>
      <c r="V198" s="15"/>
      <c r="W198" s="15"/>
      <c r="X198" s="15"/>
      <c r="Y198" s="15"/>
    </row>
    <row r="199" spans="2:25" ht="14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P199" s="15"/>
      <c r="Q199" s="15"/>
      <c r="T199" s="15"/>
      <c r="U199" s="15"/>
      <c r="V199" s="15"/>
      <c r="W199" s="15"/>
      <c r="X199" s="15"/>
      <c r="Y199" s="15"/>
    </row>
    <row r="200" spans="2:25" ht="14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P200" s="15"/>
      <c r="Q200" s="15"/>
      <c r="T200" s="15"/>
      <c r="U200" s="15"/>
      <c r="V200" s="15"/>
      <c r="W200" s="15"/>
      <c r="X200" s="15"/>
      <c r="Y200" s="15"/>
    </row>
    <row r="201" spans="2:25" ht="14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P201" s="15"/>
      <c r="Q201" s="15"/>
      <c r="T201" s="15"/>
      <c r="U201" s="15"/>
      <c r="V201" s="15"/>
      <c r="W201" s="15"/>
      <c r="X201" s="15"/>
      <c r="Y201" s="15"/>
    </row>
    <row r="202" spans="2:25" ht="14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P202" s="15"/>
      <c r="Q202" s="15"/>
      <c r="T202" s="15"/>
      <c r="U202" s="15"/>
      <c r="V202" s="15"/>
      <c r="W202" s="15"/>
      <c r="X202" s="15"/>
      <c r="Y202" s="15"/>
    </row>
    <row r="203" spans="2:25" ht="14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P203" s="15"/>
      <c r="Q203" s="15"/>
      <c r="T203" s="15"/>
      <c r="U203" s="15"/>
      <c r="V203" s="15"/>
      <c r="W203" s="15"/>
      <c r="X203" s="15"/>
      <c r="Y203" s="15"/>
    </row>
    <row r="204" spans="2:25" ht="14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P204" s="15"/>
      <c r="Q204" s="15"/>
      <c r="T204" s="15"/>
      <c r="U204" s="15"/>
      <c r="V204" s="15"/>
      <c r="W204" s="15"/>
      <c r="X204" s="15"/>
      <c r="Y204" s="15"/>
    </row>
    <row r="205" spans="2:25" ht="14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P205" s="15"/>
      <c r="Q205" s="15"/>
      <c r="T205" s="15"/>
      <c r="U205" s="15"/>
      <c r="V205" s="15"/>
      <c r="W205" s="15"/>
      <c r="X205" s="15"/>
      <c r="Y205" s="15"/>
    </row>
    <row r="206" spans="2:25" ht="14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P206" s="15"/>
      <c r="Q206" s="15"/>
      <c r="T206" s="15"/>
      <c r="U206" s="15"/>
      <c r="V206" s="15"/>
      <c r="W206" s="15"/>
      <c r="X206" s="15"/>
      <c r="Y206" s="15"/>
    </row>
    <row r="207" spans="2:25" ht="14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P207" s="15"/>
      <c r="Q207" s="15"/>
      <c r="T207" s="15"/>
      <c r="U207" s="15"/>
      <c r="V207" s="15"/>
      <c r="W207" s="15"/>
      <c r="X207" s="15"/>
      <c r="Y207" s="15"/>
    </row>
    <row r="208" spans="2:25" ht="14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P208" s="15"/>
      <c r="Q208" s="15"/>
      <c r="T208" s="15"/>
      <c r="U208" s="15"/>
      <c r="V208" s="15"/>
      <c r="W208" s="15"/>
      <c r="X208" s="15"/>
      <c r="Y208" s="15"/>
    </row>
    <row r="209" spans="2:25" ht="14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P209" s="15"/>
      <c r="Q209" s="15"/>
      <c r="T209" s="15"/>
      <c r="U209" s="15"/>
      <c r="V209" s="15"/>
      <c r="W209" s="15"/>
      <c r="X209" s="15"/>
      <c r="Y209" s="15"/>
    </row>
    <row r="210" spans="2:25" ht="14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P210" s="15"/>
      <c r="Q210" s="15"/>
      <c r="T210" s="15"/>
      <c r="U210" s="15"/>
      <c r="V210" s="15"/>
      <c r="W210" s="15"/>
      <c r="X210" s="15"/>
      <c r="Y210" s="15"/>
    </row>
    <row r="211" spans="2:25" ht="14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P211" s="15"/>
      <c r="Q211" s="15"/>
      <c r="T211" s="15"/>
      <c r="U211" s="15"/>
      <c r="V211" s="15"/>
      <c r="W211" s="15"/>
      <c r="X211" s="15"/>
      <c r="Y211" s="15"/>
    </row>
    <row r="212" spans="2:25" ht="14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P212" s="15"/>
      <c r="Q212" s="15"/>
      <c r="T212" s="15"/>
      <c r="U212" s="15"/>
      <c r="V212" s="15"/>
      <c r="W212" s="15"/>
      <c r="X212" s="15"/>
      <c r="Y212" s="15"/>
    </row>
    <row r="213" spans="2:25" ht="14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P213" s="15"/>
      <c r="Q213" s="15"/>
      <c r="T213" s="15"/>
      <c r="U213" s="15"/>
      <c r="V213" s="15"/>
      <c r="W213" s="15"/>
      <c r="X213" s="15"/>
      <c r="Y213" s="15"/>
    </row>
    <row r="214" spans="2:25" ht="14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P214" s="15"/>
      <c r="Q214" s="15"/>
      <c r="T214" s="15"/>
      <c r="U214" s="15"/>
      <c r="V214" s="15"/>
      <c r="W214" s="15"/>
      <c r="X214" s="15"/>
      <c r="Y214" s="15"/>
    </row>
    <row r="215" spans="2:25" ht="14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P215" s="15"/>
      <c r="Q215" s="15"/>
      <c r="T215" s="15"/>
      <c r="U215" s="15"/>
      <c r="V215" s="15"/>
      <c r="W215" s="15"/>
      <c r="X215" s="15"/>
      <c r="Y215" s="15"/>
    </row>
    <row r="216" spans="2:25" ht="14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P216" s="15"/>
      <c r="Q216" s="15"/>
      <c r="T216" s="15"/>
      <c r="U216" s="15"/>
      <c r="V216" s="15"/>
      <c r="W216" s="15"/>
      <c r="X216" s="15"/>
      <c r="Y216" s="15"/>
    </row>
    <row r="217" spans="2:25" ht="14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P217" s="15"/>
      <c r="Q217" s="15"/>
      <c r="T217" s="15"/>
      <c r="U217" s="15"/>
      <c r="V217" s="15"/>
      <c r="W217" s="15"/>
      <c r="X217" s="15"/>
      <c r="Y217" s="15"/>
    </row>
    <row r="218" spans="2:25" ht="14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P218" s="15"/>
      <c r="Q218" s="15"/>
      <c r="T218" s="15"/>
      <c r="U218" s="15"/>
      <c r="V218" s="15"/>
      <c r="W218" s="15"/>
      <c r="X218" s="15"/>
      <c r="Y218" s="15"/>
    </row>
    <row r="219" spans="2:25" ht="14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P219" s="15"/>
      <c r="Q219" s="15"/>
      <c r="T219" s="15"/>
      <c r="U219" s="15"/>
      <c r="V219" s="15"/>
      <c r="W219" s="15"/>
      <c r="X219" s="15"/>
      <c r="Y219" s="15"/>
    </row>
    <row r="220" spans="2:25" ht="14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P220" s="15"/>
      <c r="Q220" s="15"/>
      <c r="T220" s="15"/>
      <c r="U220" s="15"/>
      <c r="V220" s="15"/>
      <c r="W220" s="15"/>
      <c r="X220" s="15"/>
      <c r="Y220" s="15"/>
    </row>
    <row r="221" spans="2:25" ht="14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P221" s="15"/>
      <c r="Q221" s="15"/>
      <c r="T221" s="15"/>
      <c r="U221" s="15"/>
      <c r="V221" s="15"/>
      <c r="W221" s="15"/>
      <c r="X221" s="15"/>
      <c r="Y221" s="15"/>
    </row>
    <row r="222" spans="2:25" ht="14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P222" s="15"/>
      <c r="Q222" s="15"/>
      <c r="T222" s="15"/>
      <c r="U222" s="15"/>
      <c r="V222" s="15"/>
      <c r="W222" s="15"/>
      <c r="X222" s="15"/>
      <c r="Y222" s="15"/>
    </row>
    <row r="223" spans="2:25" ht="14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P223" s="15"/>
      <c r="Q223" s="15"/>
      <c r="T223" s="15"/>
      <c r="U223" s="15"/>
      <c r="V223" s="15"/>
      <c r="W223" s="15"/>
      <c r="X223" s="15"/>
      <c r="Y223" s="15"/>
    </row>
    <row r="224" spans="2:25" ht="14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P224" s="15"/>
      <c r="Q224" s="15"/>
      <c r="T224" s="15"/>
      <c r="U224" s="15"/>
      <c r="V224" s="15"/>
      <c r="W224" s="15"/>
      <c r="X224" s="15"/>
      <c r="Y224" s="15"/>
    </row>
    <row r="225" spans="2:25" ht="14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P225" s="15"/>
      <c r="Q225" s="15"/>
      <c r="T225" s="15"/>
      <c r="U225" s="15"/>
      <c r="V225" s="15"/>
      <c r="W225" s="15"/>
      <c r="X225" s="15"/>
      <c r="Y225" s="15"/>
    </row>
    <row r="226" spans="2:25" ht="14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P226" s="15"/>
      <c r="Q226" s="15"/>
      <c r="T226" s="15"/>
      <c r="U226" s="15"/>
      <c r="V226" s="15"/>
      <c r="W226" s="15"/>
      <c r="X226" s="15"/>
      <c r="Y226" s="15"/>
    </row>
    <row r="227" spans="2:25" ht="14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P227" s="15"/>
      <c r="Q227" s="15"/>
      <c r="T227" s="15"/>
      <c r="U227" s="15"/>
      <c r="V227" s="15"/>
      <c r="W227" s="15"/>
      <c r="X227" s="15"/>
      <c r="Y227" s="15"/>
    </row>
    <row r="228" spans="2:25" ht="14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P228" s="15"/>
      <c r="Q228" s="15"/>
      <c r="T228" s="15"/>
      <c r="U228" s="15"/>
      <c r="V228" s="15"/>
      <c r="W228" s="15"/>
      <c r="X228" s="15"/>
      <c r="Y228" s="15"/>
    </row>
    <row r="229" spans="2:25" ht="14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P229" s="15"/>
      <c r="Q229" s="15"/>
      <c r="T229" s="15"/>
      <c r="U229" s="15"/>
      <c r="V229" s="15"/>
      <c r="W229" s="15"/>
      <c r="X229" s="15"/>
      <c r="Y229" s="15"/>
    </row>
    <row r="230" spans="2:25" ht="14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P230" s="15"/>
      <c r="Q230" s="15"/>
      <c r="T230" s="15"/>
      <c r="U230" s="15"/>
      <c r="V230" s="15"/>
      <c r="W230" s="15"/>
      <c r="X230" s="15"/>
      <c r="Y230" s="15"/>
    </row>
    <row r="231" spans="2:25" ht="14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P231" s="15"/>
      <c r="Q231" s="15"/>
      <c r="T231" s="15"/>
      <c r="U231" s="15"/>
      <c r="V231" s="15"/>
      <c r="W231" s="15"/>
      <c r="X231" s="15"/>
      <c r="Y231" s="15"/>
    </row>
    <row r="232" spans="2:25" ht="14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P232" s="15"/>
      <c r="Q232" s="15"/>
      <c r="T232" s="15"/>
      <c r="U232" s="15"/>
      <c r="V232" s="15"/>
      <c r="W232" s="15"/>
      <c r="X232" s="15"/>
      <c r="Y232" s="15"/>
    </row>
    <row r="233" spans="2:25" ht="14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P233" s="15"/>
      <c r="Q233" s="15"/>
      <c r="T233" s="15"/>
      <c r="U233" s="15"/>
      <c r="V233" s="15"/>
      <c r="W233" s="15"/>
      <c r="X233" s="15"/>
      <c r="Y233" s="15"/>
    </row>
    <row r="234" spans="2:25" ht="14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P234" s="15"/>
      <c r="Q234" s="15"/>
      <c r="T234" s="15"/>
      <c r="U234" s="15"/>
      <c r="V234" s="15"/>
      <c r="W234" s="15"/>
      <c r="X234" s="15"/>
      <c r="Y234" s="15"/>
    </row>
    <row r="235" spans="2:25" ht="14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P235" s="15"/>
      <c r="Q235" s="15"/>
      <c r="T235" s="15"/>
      <c r="U235" s="15"/>
      <c r="V235" s="15"/>
      <c r="W235" s="15"/>
      <c r="X235" s="15"/>
      <c r="Y235" s="15"/>
    </row>
    <row r="236" spans="2:25" ht="14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P236" s="15"/>
      <c r="Q236" s="15"/>
      <c r="T236" s="15"/>
      <c r="U236" s="15"/>
      <c r="V236" s="15"/>
      <c r="W236" s="15"/>
      <c r="X236" s="15"/>
      <c r="Y236" s="15"/>
    </row>
    <row r="237" spans="2:25" ht="14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P237" s="15"/>
      <c r="Q237" s="15"/>
      <c r="T237" s="15"/>
      <c r="U237" s="15"/>
      <c r="V237" s="15"/>
      <c r="W237" s="15"/>
      <c r="X237" s="15"/>
      <c r="Y237" s="15"/>
    </row>
    <row r="238" spans="2:25" ht="14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P238" s="15"/>
      <c r="Q238" s="15"/>
      <c r="T238" s="15"/>
      <c r="U238" s="15"/>
      <c r="V238" s="15"/>
      <c r="W238" s="15"/>
      <c r="X238" s="15"/>
      <c r="Y238" s="15"/>
    </row>
    <row r="239" spans="2:25" ht="14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P239" s="15"/>
      <c r="Q239" s="15"/>
      <c r="T239" s="15"/>
      <c r="U239" s="15"/>
      <c r="V239" s="15"/>
      <c r="W239" s="15"/>
      <c r="X239" s="15"/>
      <c r="Y239" s="15"/>
    </row>
    <row r="240" spans="2:25" ht="14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P240" s="15"/>
      <c r="Q240" s="15"/>
      <c r="T240" s="15"/>
      <c r="U240" s="15"/>
      <c r="V240" s="15"/>
      <c r="W240" s="15"/>
      <c r="X240" s="15"/>
      <c r="Y240" s="15"/>
    </row>
    <row r="241" spans="2:25" ht="14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P241" s="15"/>
      <c r="Q241" s="15"/>
      <c r="T241" s="15"/>
      <c r="U241" s="15"/>
      <c r="V241" s="15"/>
      <c r="W241" s="15"/>
      <c r="X241" s="15"/>
      <c r="Y241" s="15"/>
    </row>
    <row r="242" spans="2:25" ht="14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P242" s="15"/>
      <c r="Q242" s="15"/>
      <c r="T242" s="15"/>
      <c r="U242" s="15"/>
      <c r="V242" s="15"/>
      <c r="W242" s="15"/>
      <c r="X242" s="15"/>
      <c r="Y242" s="15"/>
    </row>
    <row r="243" spans="2:25" ht="14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P243" s="15"/>
      <c r="Q243" s="15"/>
      <c r="T243" s="15"/>
      <c r="U243" s="15"/>
      <c r="V243" s="15"/>
      <c r="W243" s="15"/>
      <c r="X243" s="15"/>
      <c r="Y243" s="15"/>
    </row>
    <row r="244" spans="2:25" ht="14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P244" s="15"/>
      <c r="Q244" s="15"/>
      <c r="T244" s="15"/>
      <c r="U244" s="15"/>
      <c r="V244" s="15"/>
      <c r="W244" s="15"/>
      <c r="X244" s="15"/>
      <c r="Y244" s="15"/>
    </row>
    <row r="245" spans="2:25" ht="14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P245" s="15"/>
      <c r="Q245" s="15"/>
      <c r="T245" s="15"/>
      <c r="U245" s="15"/>
      <c r="V245" s="15"/>
      <c r="W245" s="15"/>
      <c r="X245" s="15"/>
      <c r="Y245" s="15"/>
    </row>
    <row r="246" spans="2:25" ht="14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P246" s="15"/>
      <c r="Q246" s="15"/>
      <c r="T246" s="15"/>
      <c r="U246" s="15"/>
      <c r="V246" s="15"/>
      <c r="W246" s="15"/>
      <c r="X246" s="15"/>
      <c r="Y246" s="15"/>
    </row>
    <row r="247" spans="2:25" ht="14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P247" s="15"/>
      <c r="Q247" s="15"/>
      <c r="T247" s="15"/>
      <c r="U247" s="15"/>
      <c r="V247" s="15"/>
      <c r="W247" s="15"/>
      <c r="X247" s="15"/>
      <c r="Y247" s="15"/>
    </row>
    <row r="248" spans="2:25" ht="14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P248" s="15"/>
      <c r="Q248" s="15"/>
      <c r="T248" s="15"/>
      <c r="U248" s="15"/>
      <c r="V248" s="15"/>
      <c r="W248" s="15"/>
      <c r="X248" s="15"/>
      <c r="Y248" s="15"/>
    </row>
    <row r="249" spans="2:25" ht="14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P249" s="15"/>
      <c r="Q249" s="15"/>
      <c r="T249" s="15"/>
      <c r="U249" s="15"/>
      <c r="V249" s="15"/>
      <c r="W249" s="15"/>
      <c r="X249" s="15"/>
      <c r="Y249" s="15"/>
    </row>
    <row r="250" spans="2:25" ht="14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P250" s="15"/>
      <c r="Q250" s="15"/>
      <c r="T250" s="15"/>
      <c r="U250" s="15"/>
      <c r="V250" s="15"/>
      <c r="W250" s="15"/>
      <c r="X250" s="15"/>
      <c r="Y250" s="15"/>
    </row>
    <row r="251" spans="2:25" ht="14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P251" s="15"/>
      <c r="Q251" s="15"/>
      <c r="T251" s="15"/>
      <c r="U251" s="15"/>
      <c r="V251" s="15"/>
      <c r="W251" s="15"/>
      <c r="X251" s="15"/>
      <c r="Y251" s="15"/>
    </row>
    <row r="252" spans="2:25" ht="14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P252" s="15"/>
      <c r="Q252" s="15"/>
      <c r="T252" s="15"/>
      <c r="U252" s="15"/>
      <c r="V252" s="15"/>
      <c r="W252" s="15"/>
      <c r="X252" s="15"/>
      <c r="Y252" s="15"/>
    </row>
    <row r="253" spans="2:25" ht="14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P253" s="15"/>
      <c r="Q253" s="15"/>
      <c r="T253" s="15"/>
      <c r="U253" s="15"/>
      <c r="V253" s="15"/>
      <c r="W253" s="15"/>
      <c r="X253" s="15"/>
      <c r="Y253" s="15"/>
    </row>
    <row r="254" spans="2:25" ht="14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P254" s="15"/>
      <c r="Q254" s="15"/>
      <c r="T254" s="15"/>
      <c r="U254" s="15"/>
      <c r="V254" s="15"/>
      <c r="W254" s="15"/>
      <c r="X254" s="15"/>
      <c r="Y254" s="15"/>
    </row>
    <row r="255" spans="2:25" ht="14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P255" s="15"/>
      <c r="Q255" s="15"/>
      <c r="T255" s="15"/>
      <c r="U255" s="15"/>
      <c r="V255" s="15"/>
      <c r="W255" s="15"/>
      <c r="X255" s="15"/>
      <c r="Y255" s="15"/>
    </row>
    <row r="256" spans="2:25" ht="14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P256" s="15"/>
      <c r="Q256" s="15"/>
      <c r="T256" s="15"/>
      <c r="U256" s="15"/>
      <c r="V256" s="15"/>
      <c r="W256" s="15"/>
      <c r="X256" s="15"/>
      <c r="Y256" s="15"/>
    </row>
    <row r="257" spans="2:25" ht="14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P257" s="15"/>
      <c r="Q257" s="15"/>
      <c r="T257" s="15"/>
      <c r="U257" s="15"/>
      <c r="V257" s="15"/>
      <c r="W257" s="15"/>
      <c r="X257" s="15"/>
      <c r="Y257" s="15"/>
    </row>
    <row r="258" spans="2:25" ht="14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P258" s="15"/>
      <c r="Q258" s="15"/>
      <c r="T258" s="15"/>
      <c r="U258" s="15"/>
      <c r="V258" s="15"/>
      <c r="W258" s="15"/>
      <c r="X258" s="15"/>
      <c r="Y258" s="15"/>
    </row>
    <row r="259" spans="2:25" ht="14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P259" s="15"/>
      <c r="Q259" s="15"/>
      <c r="T259" s="15"/>
      <c r="U259" s="15"/>
      <c r="V259" s="15"/>
      <c r="W259" s="15"/>
      <c r="X259" s="15"/>
      <c r="Y259" s="15"/>
    </row>
    <row r="260" spans="2:25" ht="14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P260" s="15"/>
      <c r="Q260" s="15"/>
      <c r="T260" s="15"/>
      <c r="U260" s="15"/>
      <c r="V260" s="15"/>
      <c r="W260" s="15"/>
      <c r="X260" s="15"/>
      <c r="Y260" s="15"/>
    </row>
    <row r="261" spans="2:25" ht="14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P261" s="15"/>
      <c r="Q261" s="15"/>
      <c r="T261" s="15"/>
      <c r="U261" s="15"/>
      <c r="V261" s="15"/>
      <c r="W261" s="15"/>
      <c r="X261" s="15"/>
      <c r="Y261" s="15"/>
    </row>
    <row r="262" spans="2:25" ht="14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P262" s="15"/>
      <c r="Q262" s="15"/>
      <c r="T262" s="15"/>
      <c r="U262" s="15"/>
      <c r="V262" s="15"/>
      <c r="W262" s="15"/>
      <c r="X262" s="15"/>
      <c r="Y262" s="15"/>
    </row>
    <row r="263" spans="2:25" ht="14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P263" s="15"/>
      <c r="Q263" s="15"/>
      <c r="T263" s="15"/>
      <c r="U263" s="15"/>
      <c r="V263" s="15"/>
      <c r="W263" s="15"/>
      <c r="X263" s="15"/>
      <c r="Y263" s="15"/>
    </row>
    <row r="264" spans="2:25" ht="14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P264" s="15"/>
      <c r="Q264" s="15"/>
      <c r="T264" s="15"/>
      <c r="U264" s="15"/>
      <c r="V264" s="15"/>
      <c r="W264" s="15"/>
      <c r="X264" s="15"/>
      <c r="Y264" s="15"/>
    </row>
    <row r="265" spans="2:25" ht="14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P265" s="15"/>
      <c r="Q265" s="15"/>
      <c r="T265" s="15"/>
      <c r="U265" s="15"/>
      <c r="V265" s="15"/>
      <c r="W265" s="15"/>
      <c r="X265" s="15"/>
      <c r="Y265" s="15"/>
    </row>
    <row r="266" spans="2:25" ht="14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P266" s="15"/>
      <c r="Q266" s="15"/>
      <c r="T266" s="15"/>
      <c r="U266" s="15"/>
      <c r="V266" s="15"/>
      <c r="W266" s="15"/>
      <c r="X266" s="15"/>
      <c r="Y266" s="15"/>
    </row>
    <row r="267" spans="2:25" ht="14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P267" s="15"/>
      <c r="Q267" s="15"/>
      <c r="T267" s="15"/>
      <c r="U267" s="15"/>
      <c r="V267" s="15"/>
      <c r="W267" s="15"/>
      <c r="X267" s="15"/>
      <c r="Y267" s="15"/>
    </row>
    <row r="268" spans="2:25" ht="14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P268" s="15"/>
      <c r="Q268" s="15"/>
      <c r="T268" s="15"/>
      <c r="U268" s="15"/>
      <c r="V268" s="15"/>
      <c r="W268" s="15"/>
      <c r="X268" s="15"/>
      <c r="Y268" s="15"/>
    </row>
    <row r="269" spans="2:25" ht="14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P269" s="15"/>
      <c r="Q269" s="15"/>
      <c r="T269" s="15"/>
      <c r="U269" s="15"/>
      <c r="V269" s="15"/>
      <c r="W269" s="15"/>
      <c r="X269" s="15"/>
      <c r="Y269" s="15"/>
    </row>
    <row r="270" spans="2:25" ht="14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P270" s="15"/>
      <c r="Q270" s="15"/>
      <c r="T270" s="15"/>
      <c r="U270" s="15"/>
      <c r="V270" s="15"/>
      <c r="W270" s="15"/>
      <c r="X270" s="15"/>
      <c r="Y270" s="15"/>
    </row>
    <row r="271" spans="2:25" ht="14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P271" s="15"/>
      <c r="Q271" s="15"/>
      <c r="T271" s="15"/>
      <c r="U271" s="15"/>
      <c r="V271" s="15"/>
      <c r="W271" s="15"/>
      <c r="X271" s="15"/>
      <c r="Y271" s="15"/>
    </row>
    <row r="272" spans="2:25" ht="14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P272" s="15"/>
      <c r="Q272" s="15"/>
      <c r="T272" s="15"/>
      <c r="U272" s="15"/>
      <c r="V272" s="15"/>
      <c r="W272" s="15"/>
      <c r="X272" s="15"/>
      <c r="Y272" s="15"/>
    </row>
    <row r="273" spans="2:25" ht="14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P273" s="15"/>
      <c r="Q273" s="15"/>
      <c r="T273" s="15"/>
      <c r="U273" s="15"/>
      <c r="V273" s="15"/>
      <c r="W273" s="15"/>
      <c r="X273" s="15"/>
      <c r="Y273" s="15"/>
    </row>
    <row r="274" spans="2:25" ht="14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P274" s="15"/>
      <c r="Q274" s="15"/>
      <c r="T274" s="15"/>
      <c r="U274" s="15"/>
      <c r="V274" s="15"/>
      <c r="W274" s="15"/>
      <c r="X274" s="15"/>
      <c r="Y274" s="15"/>
    </row>
    <row r="275" spans="2:25" ht="14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P275" s="15"/>
      <c r="Q275" s="15"/>
      <c r="T275" s="15"/>
      <c r="U275" s="15"/>
      <c r="V275" s="15"/>
      <c r="W275" s="15"/>
      <c r="X275" s="15"/>
      <c r="Y275" s="15"/>
    </row>
    <row r="276" spans="2:25" ht="14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P276" s="15"/>
      <c r="Q276" s="15"/>
      <c r="T276" s="15"/>
      <c r="U276" s="15"/>
      <c r="V276" s="15"/>
      <c r="W276" s="15"/>
      <c r="X276" s="15"/>
      <c r="Y276" s="15"/>
    </row>
    <row r="277" spans="2:25" ht="14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P277" s="15"/>
      <c r="Q277" s="15"/>
      <c r="T277" s="15"/>
      <c r="U277" s="15"/>
      <c r="V277" s="15"/>
      <c r="W277" s="15"/>
      <c r="X277" s="15"/>
      <c r="Y277" s="15"/>
    </row>
    <row r="278" spans="2:25" ht="14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P278" s="15"/>
      <c r="Q278" s="15"/>
      <c r="T278" s="15"/>
      <c r="U278" s="15"/>
      <c r="V278" s="15"/>
      <c r="W278" s="15"/>
      <c r="X278" s="15"/>
      <c r="Y278" s="15"/>
    </row>
    <row r="279" spans="2:25" ht="14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P279" s="15"/>
      <c r="Q279" s="15"/>
      <c r="T279" s="15"/>
      <c r="U279" s="15"/>
      <c r="V279" s="15"/>
      <c r="W279" s="15"/>
      <c r="X279" s="15"/>
      <c r="Y279" s="15"/>
    </row>
    <row r="280" spans="2:25" ht="14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P280" s="15"/>
      <c r="Q280" s="15"/>
      <c r="T280" s="15"/>
      <c r="U280" s="15"/>
      <c r="V280" s="15"/>
      <c r="W280" s="15"/>
      <c r="X280" s="15"/>
      <c r="Y280" s="15"/>
    </row>
    <row r="281" spans="2:25" ht="14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P281" s="15"/>
      <c r="Q281" s="15"/>
      <c r="T281" s="15"/>
      <c r="U281" s="15"/>
      <c r="V281" s="15"/>
      <c r="W281" s="15"/>
      <c r="X281" s="15"/>
      <c r="Y281" s="15"/>
    </row>
    <row r="282" spans="2:25" ht="14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P282" s="15"/>
      <c r="Q282" s="15"/>
      <c r="T282" s="15"/>
      <c r="U282" s="15"/>
      <c r="V282" s="15"/>
      <c r="W282" s="15"/>
      <c r="X282" s="15"/>
      <c r="Y282" s="15"/>
    </row>
    <row r="283" spans="2:25" ht="14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P283" s="15"/>
      <c r="Q283" s="15"/>
      <c r="T283" s="15"/>
      <c r="U283" s="15"/>
      <c r="V283" s="15"/>
      <c r="W283" s="15"/>
      <c r="X283" s="15"/>
      <c r="Y283" s="15"/>
    </row>
    <row r="284" spans="2:25" ht="14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P284" s="15"/>
      <c r="Q284" s="15"/>
      <c r="T284" s="15"/>
      <c r="U284" s="15"/>
      <c r="V284" s="15"/>
      <c r="W284" s="15"/>
      <c r="X284" s="15"/>
      <c r="Y284" s="15"/>
    </row>
    <row r="285" spans="2:25" ht="14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P285" s="15"/>
      <c r="Q285" s="15"/>
      <c r="T285" s="15"/>
      <c r="U285" s="15"/>
      <c r="V285" s="15"/>
      <c r="W285" s="15"/>
      <c r="X285" s="15"/>
      <c r="Y285" s="15"/>
    </row>
    <row r="286" spans="2:25" ht="14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P286" s="15"/>
      <c r="Q286" s="15"/>
      <c r="T286" s="15"/>
      <c r="U286" s="15"/>
      <c r="V286" s="15"/>
      <c r="W286" s="15"/>
      <c r="X286" s="15"/>
      <c r="Y286" s="15"/>
    </row>
    <row r="287" spans="2:25" ht="14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P287" s="15"/>
      <c r="Q287" s="15"/>
      <c r="T287" s="15"/>
      <c r="U287" s="15"/>
      <c r="V287" s="15"/>
      <c r="W287" s="15"/>
      <c r="X287" s="15"/>
      <c r="Y287" s="15"/>
    </row>
    <row r="288" spans="2:25" ht="14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P288" s="15"/>
      <c r="Q288" s="15"/>
      <c r="T288" s="15"/>
      <c r="U288" s="15"/>
      <c r="V288" s="15"/>
      <c r="W288" s="15"/>
      <c r="X288" s="15"/>
      <c r="Y288" s="15"/>
    </row>
    <row r="289" spans="2:25" ht="14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P289" s="15"/>
      <c r="Q289" s="15"/>
      <c r="T289" s="15"/>
      <c r="U289" s="15"/>
      <c r="V289" s="15"/>
      <c r="W289" s="15"/>
      <c r="X289" s="15"/>
      <c r="Y289" s="15"/>
    </row>
    <row r="290" spans="2:25" ht="14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P290" s="15"/>
      <c r="Q290" s="15"/>
      <c r="T290" s="15"/>
      <c r="U290" s="15"/>
      <c r="V290" s="15"/>
      <c r="W290" s="15"/>
      <c r="X290" s="15"/>
      <c r="Y290" s="15"/>
    </row>
    <row r="291" spans="2:25" ht="14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P291" s="15"/>
      <c r="Q291" s="15"/>
      <c r="T291" s="15"/>
      <c r="U291" s="15"/>
      <c r="V291" s="15"/>
      <c r="W291" s="15"/>
      <c r="X291" s="15"/>
      <c r="Y291" s="15"/>
    </row>
    <row r="292" spans="2:25" ht="14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P292" s="15"/>
      <c r="Q292" s="15"/>
      <c r="T292" s="15"/>
      <c r="U292" s="15"/>
      <c r="V292" s="15"/>
      <c r="W292" s="15"/>
      <c r="X292" s="15"/>
      <c r="Y292" s="15"/>
    </row>
    <row r="293" spans="2:25" ht="14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P293" s="15"/>
      <c r="Q293" s="15"/>
      <c r="T293" s="15"/>
      <c r="U293" s="15"/>
      <c r="V293" s="15"/>
      <c r="W293" s="15"/>
      <c r="X293" s="15"/>
      <c r="Y293" s="15"/>
    </row>
    <row r="294" spans="2:25" ht="14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P294" s="15"/>
      <c r="Q294" s="15"/>
      <c r="T294" s="15"/>
      <c r="U294" s="15"/>
      <c r="V294" s="15"/>
      <c r="W294" s="15"/>
      <c r="X294" s="15"/>
      <c r="Y294" s="15"/>
    </row>
    <row r="295" spans="2:25" ht="14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P295" s="15"/>
      <c r="Q295" s="15"/>
      <c r="T295" s="15"/>
      <c r="U295" s="15"/>
      <c r="V295" s="15"/>
      <c r="W295" s="15"/>
      <c r="X295" s="15"/>
      <c r="Y295" s="15"/>
    </row>
    <row r="296" spans="2:25" ht="14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P296" s="15"/>
      <c r="Q296" s="15"/>
      <c r="T296" s="15"/>
      <c r="U296" s="15"/>
      <c r="V296" s="15"/>
      <c r="W296" s="15"/>
      <c r="X296" s="15"/>
      <c r="Y296" s="15"/>
    </row>
    <row r="297" spans="2:25" ht="14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P297" s="15"/>
      <c r="Q297" s="15"/>
      <c r="T297" s="15"/>
      <c r="U297" s="15"/>
      <c r="V297" s="15"/>
      <c r="W297" s="15"/>
      <c r="X297" s="15"/>
      <c r="Y297" s="15"/>
    </row>
    <row r="298" spans="2:25" ht="14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P298" s="15"/>
      <c r="Q298" s="15"/>
      <c r="T298" s="15"/>
      <c r="U298" s="15"/>
      <c r="V298" s="15"/>
      <c r="W298" s="15"/>
      <c r="X298" s="15"/>
      <c r="Y298" s="15"/>
    </row>
    <row r="299" spans="2:25" ht="14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P299" s="15"/>
      <c r="Q299" s="15"/>
      <c r="T299" s="15"/>
      <c r="U299" s="15"/>
      <c r="V299" s="15"/>
      <c r="W299" s="15"/>
      <c r="X299" s="15"/>
      <c r="Y299" s="15"/>
    </row>
    <row r="300" spans="2:25" ht="14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P300" s="15"/>
      <c r="Q300" s="15"/>
      <c r="T300" s="15"/>
      <c r="U300" s="15"/>
      <c r="V300" s="15"/>
      <c r="W300" s="15"/>
      <c r="X300" s="15"/>
      <c r="Y300" s="15"/>
    </row>
    <row r="301" spans="2:25" ht="14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P301" s="15"/>
      <c r="Q301" s="15"/>
      <c r="T301" s="15"/>
      <c r="U301" s="15"/>
      <c r="V301" s="15"/>
      <c r="W301" s="15"/>
      <c r="X301" s="15"/>
      <c r="Y301" s="15"/>
    </row>
    <row r="302" spans="2:25" ht="14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P302" s="15"/>
      <c r="Q302" s="15"/>
      <c r="T302" s="15"/>
      <c r="U302" s="15"/>
      <c r="V302" s="15"/>
      <c r="W302" s="15"/>
      <c r="X302" s="15"/>
      <c r="Y302" s="15"/>
    </row>
    <row r="303" spans="2:25" ht="14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P303" s="15"/>
      <c r="Q303" s="15"/>
      <c r="T303" s="15"/>
      <c r="U303" s="15"/>
      <c r="V303" s="15"/>
      <c r="W303" s="15"/>
      <c r="X303" s="15"/>
      <c r="Y303" s="15"/>
    </row>
    <row r="304" spans="2:25" ht="14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P304" s="15"/>
      <c r="Q304" s="15"/>
      <c r="T304" s="15"/>
      <c r="U304" s="15"/>
      <c r="V304" s="15"/>
      <c r="W304" s="15"/>
      <c r="X304" s="15"/>
      <c r="Y304" s="15"/>
    </row>
    <row r="305" spans="2:25" ht="14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P305" s="15"/>
      <c r="Q305" s="15"/>
      <c r="T305" s="15"/>
      <c r="U305" s="15"/>
      <c r="V305" s="15"/>
      <c r="W305" s="15"/>
      <c r="X305" s="15"/>
      <c r="Y305" s="15"/>
    </row>
    <row r="306" spans="2:25" ht="14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P306" s="15"/>
      <c r="Q306" s="15"/>
      <c r="T306" s="15"/>
      <c r="U306" s="15"/>
      <c r="V306" s="15"/>
      <c r="W306" s="15"/>
      <c r="X306" s="15"/>
      <c r="Y306" s="15"/>
    </row>
    <row r="307" spans="2:25" ht="14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P307" s="15"/>
      <c r="Q307" s="15"/>
      <c r="T307" s="15"/>
      <c r="U307" s="15"/>
      <c r="V307" s="15"/>
      <c r="W307" s="15"/>
      <c r="X307" s="15"/>
      <c r="Y307" s="15"/>
    </row>
    <row r="308" spans="2:25" ht="14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P308" s="15"/>
      <c r="Q308" s="15"/>
      <c r="T308" s="15"/>
      <c r="U308" s="15"/>
      <c r="V308" s="15"/>
      <c r="W308" s="15"/>
      <c r="X308" s="15"/>
      <c r="Y308" s="15"/>
    </row>
    <row r="309" spans="2:25" ht="14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P309" s="15"/>
      <c r="Q309" s="15"/>
      <c r="T309" s="15"/>
      <c r="U309" s="15"/>
      <c r="V309" s="15"/>
      <c r="W309" s="15"/>
      <c r="X309" s="15"/>
      <c r="Y309" s="15"/>
    </row>
    <row r="310" spans="2:25" ht="14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P310" s="15"/>
      <c r="Q310" s="15"/>
      <c r="T310" s="15"/>
      <c r="U310" s="15"/>
      <c r="V310" s="15"/>
      <c r="W310" s="15"/>
      <c r="X310" s="15"/>
      <c r="Y310" s="15"/>
    </row>
    <row r="311" spans="2:25" ht="14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P311" s="15"/>
      <c r="Q311" s="15"/>
      <c r="T311" s="15"/>
      <c r="U311" s="15"/>
      <c r="V311" s="15"/>
      <c r="W311" s="15"/>
      <c r="X311" s="15"/>
      <c r="Y311" s="15"/>
    </row>
    <row r="312" spans="2:25" ht="14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P312" s="15"/>
      <c r="Q312" s="15"/>
      <c r="T312" s="15"/>
      <c r="U312" s="15"/>
      <c r="V312" s="15"/>
      <c r="W312" s="15"/>
      <c r="X312" s="15"/>
      <c r="Y312" s="15"/>
    </row>
    <row r="313" spans="2:25" ht="14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P313" s="15"/>
      <c r="Q313" s="15"/>
      <c r="T313" s="15"/>
      <c r="U313" s="15"/>
      <c r="V313" s="15"/>
      <c r="W313" s="15"/>
      <c r="X313" s="15"/>
      <c r="Y313" s="15"/>
    </row>
    <row r="314" spans="2:25" ht="14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P314" s="15"/>
      <c r="Q314" s="15"/>
      <c r="T314" s="15"/>
      <c r="U314" s="15"/>
      <c r="V314" s="15"/>
      <c r="W314" s="15"/>
      <c r="X314" s="15"/>
      <c r="Y314" s="15"/>
    </row>
    <row r="315" spans="2:25" ht="14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P315" s="15"/>
      <c r="Q315" s="15"/>
      <c r="T315" s="15"/>
      <c r="U315" s="15"/>
      <c r="V315" s="15"/>
      <c r="W315" s="15"/>
      <c r="X315" s="15"/>
      <c r="Y315" s="15"/>
    </row>
    <row r="316" spans="2:25" ht="14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P316" s="15"/>
      <c r="Q316" s="15"/>
      <c r="T316" s="15"/>
      <c r="U316" s="15"/>
      <c r="V316" s="15"/>
      <c r="W316" s="15"/>
      <c r="X316" s="15"/>
      <c r="Y316" s="15"/>
    </row>
    <row r="317" spans="2:25" ht="14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P317" s="15"/>
      <c r="Q317" s="15"/>
      <c r="T317" s="15"/>
      <c r="U317" s="15"/>
      <c r="V317" s="15"/>
      <c r="W317" s="15"/>
      <c r="X317" s="15"/>
      <c r="Y317" s="15"/>
    </row>
    <row r="318" spans="2:25" ht="14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P318" s="15"/>
      <c r="Q318" s="15"/>
      <c r="T318" s="15"/>
      <c r="U318" s="15"/>
      <c r="V318" s="15"/>
      <c r="W318" s="15"/>
      <c r="X318" s="15"/>
      <c r="Y318" s="15"/>
    </row>
    <row r="319" spans="2:25" ht="14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P319" s="15"/>
      <c r="Q319" s="15"/>
      <c r="T319" s="15"/>
      <c r="U319" s="15"/>
      <c r="V319" s="15"/>
      <c r="W319" s="15"/>
      <c r="X319" s="15"/>
      <c r="Y319" s="15"/>
    </row>
    <row r="320" spans="2:25" ht="14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P320" s="15"/>
      <c r="Q320" s="15"/>
      <c r="T320" s="15"/>
      <c r="U320" s="15"/>
      <c r="V320" s="15"/>
      <c r="W320" s="15"/>
      <c r="X320" s="15"/>
      <c r="Y320" s="15"/>
    </row>
    <row r="321" spans="2:25" ht="14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P321" s="15"/>
      <c r="Q321" s="15"/>
      <c r="T321" s="15"/>
      <c r="U321" s="15"/>
      <c r="V321" s="15"/>
      <c r="W321" s="15"/>
      <c r="X321" s="15"/>
      <c r="Y321" s="15"/>
    </row>
    <row r="322" spans="2:25" ht="14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P322" s="15"/>
      <c r="Q322" s="15"/>
      <c r="T322" s="15"/>
      <c r="U322" s="15"/>
      <c r="V322" s="15"/>
      <c r="W322" s="15"/>
      <c r="X322" s="15"/>
      <c r="Y322" s="15"/>
    </row>
    <row r="323" spans="2:25" ht="14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P323" s="15"/>
      <c r="Q323" s="15"/>
      <c r="T323" s="15"/>
      <c r="U323" s="15"/>
      <c r="V323" s="15"/>
      <c r="W323" s="15"/>
      <c r="X323" s="15"/>
      <c r="Y323" s="15"/>
    </row>
    <row r="324" spans="2:25" ht="14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P324" s="15"/>
      <c r="Q324" s="15"/>
      <c r="T324" s="15"/>
      <c r="U324" s="15"/>
      <c r="V324" s="15"/>
      <c r="W324" s="15"/>
      <c r="X324" s="15"/>
      <c r="Y324" s="15"/>
    </row>
    <row r="325" spans="2:25" ht="14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P325" s="15"/>
      <c r="Q325" s="15"/>
      <c r="T325" s="15"/>
      <c r="U325" s="15"/>
      <c r="V325" s="15"/>
      <c r="W325" s="15"/>
      <c r="X325" s="15"/>
      <c r="Y325" s="15"/>
    </row>
    <row r="326" spans="2:25" ht="14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P326" s="15"/>
      <c r="Q326" s="15"/>
      <c r="T326" s="15"/>
      <c r="U326" s="15"/>
      <c r="V326" s="15"/>
      <c r="W326" s="15"/>
      <c r="X326" s="15"/>
      <c r="Y326" s="15"/>
    </row>
    <row r="327" spans="2:25" ht="14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P327" s="15"/>
      <c r="Q327" s="15"/>
      <c r="T327" s="15"/>
      <c r="U327" s="15"/>
      <c r="V327" s="15"/>
      <c r="W327" s="15"/>
      <c r="X327" s="15"/>
      <c r="Y327" s="15"/>
    </row>
    <row r="328" spans="2:25" ht="14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P328" s="15"/>
      <c r="Q328" s="15"/>
      <c r="T328" s="15"/>
      <c r="U328" s="15"/>
      <c r="V328" s="15"/>
      <c r="W328" s="15"/>
      <c r="X328" s="15"/>
      <c r="Y328" s="15"/>
    </row>
    <row r="329" spans="2:25" ht="14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P329" s="15"/>
      <c r="Q329" s="15"/>
      <c r="T329" s="15"/>
      <c r="U329" s="15"/>
      <c r="V329" s="15"/>
      <c r="W329" s="15"/>
      <c r="X329" s="15"/>
      <c r="Y329" s="15"/>
    </row>
    <row r="330" spans="2:25" ht="14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P330" s="15"/>
      <c r="Q330" s="15"/>
      <c r="T330" s="15"/>
      <c r="U330" s="15"/>
      <c r="V330" s="15"/>
      <c r="W330" s="15"/>
      <c r="X330" s="15"/>
      <c r="Y330" s="15"/>
    </row>
    <row r="331" spans="2:25" ht="14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P331" s="15"/>
      <c r="Q331" s="15"/>
      <c r="T331" s="15"/>
      <c r="U331" s="15"/>
      <c r="V331" s="15"/>
      <c r="W331" s="15"/>
      <c r="X331" s="15"/>
      <c r="Y331" s="15"/>
    </row>
    <row r="332" spans="2:25" ht="14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P332" s="15"/>
      <c r="Q332" s="15"/>
      <c r="T332" s="15"/>
      <c r="U332" s="15"/>
      <c r="V332" s="15"/>
      <c r="W332" s="15"/>
      <c r="X332" s="15"/>
      <c r="Y332" s="15"/>
    </row>
    <row r="333" spans="2:25" ht="14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P333" s="15"/>
      <c r="Q333" s="15"/>
      <c r="T333" s="15"/>
      <c r="U333" s="15"/>
      <c r="V333" s="15"/>
      <c r="W333" s="15"/>
      <c r="X333" s="15"/>
      <c r="Y333" s="15"/>
    </row>
    <row r="334" spans="2:25" ht="14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P334" s="15"/>
      <c r="Q334" s="15"/>
      <c r="T334" s="15"/>
      <c r="U334" s="15"/>
      <c r="V334" s="15"/>
      <c r="W334" s="15"/>
      <c r="X334" s="15"/>
      <c r="Y334" s="15"/>
    </row>
    <row r="335" spans="2:25" ht="14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P335" s="15"/>
      <c r="Q335" s="15"/>
      <c r="T335" s="15"/>
      <c r="U335" s="15"/>
      <c r="V335" s="15"/>
      <c r="W335" s="15"/>
      <c r="X335" s="15"/>
      <c r="Y335" s="15"/>
    </row>
    <row r="336" spans="2:25" ht="14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P336" s="15"/>
      <c r="Q336" s="15"/>
      <c r="T336" s="15"/>
      <c r="U336" s="15"/>
      <c r="V336" s="15"/>
      <c r="W336" s="15"/>
      <c r="X336" s="15"/>
      <c r="Y336" s="15"/>
    </row>
    <row r="337" spans="2:25" ht="14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P337" s="15"/>
      <c r="Q337" s="15"/>
      <c r="T337" s="15"/>
      <c r="U337" s="15"/>
      <c r="V337" s="15"/>
      <c r="W337" s="15"/>
      <c r="X337" s="15"/>
      <c r="Y337" s="15"/>
    </row>
    <row r="338" spans="2:25" ht="14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P338" s="15"/>
      <c r="Q338" s="15"/>
      <c r="T338" s="15"/>
      <c r="U338" s="15"/>
      <c r="V338" s="15"/>
      <c r="W338" s="15"/>
      <c r="X338" s="15"/>
      <c r="Y338" s="15"/>
    </row>
    <row r="339" spans="2:25" ht="14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P339" s="15"/>
      <c r="Q339" s="15"/>
      <c r="T339" s="15"/>
      <c r="U339" s="15"/>
      <c r="V339" s="15"/>
      <c r="W339" s="15"/>
      <c r="X339" s="15"/>
      <c r="Y339" s="15"/>
    </row>
    <row r="340" spans="2:25" ht="14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P340" s="15"/>
      <c r="Q340" s="15"/>
      <c r="T340" s="15"/>
      <c r="U340" s="15"/>
      <c r="V340" s="15"/>
      <c r="W340" s="15"/>
      <c r="X340" s="15"/>
      <c r="Y340" s="15"/>
    </row>
    <row r="341" spans="2:25" ht="14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P341" s="15"/>
      <c r="Q341" s="15"/>
      <c r="T341" s="15"/>
      <c r="U341" s="15"/>
      <c r="V341" s="15"/>
      <c r="W341" s="15"/>
      <c r="X341" s="15"/>
      <c r="Y341" s="15"/>
    </row>
    <row r="342" spans="2:25" ht="14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P342" s="15"/>
      <c r="Q342" s="15"/>
      <c r="T342" s="15"/>
      <c r="U342" s="15"/>
      <c r="V342" s="15"/>
      <c r="W342" s="15"/>
      <c r="X342" s="15"/>
      <c r="Y342" s="15"/>
    </row>
    <row r="343" spans="2:25" ht="14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P343" s="15"/>
      <c r="Q343" s="15"/>
      <c r="T343" s="15"/>
      <c r="U343" s="15"/>
      <c r="V343" s="15"/>
      <c r="W343" s="15"/>
      <c r="X343" s="15"/>
      <c r="Y343" s="15"/>
    </row>
    <row r="344" spans="2:25" ht="14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P344" s="15"/>
      <c r="Q344" s="15"/>
      <c r="T344" s="15"/>
      <c r="U344" s="15"/>
      <c r="V344" s="15"/>
      <c r="W344" s="15"/>
      <c r="X344" s="15"/>
      <c r="Y344" s="15"/>
    </row>
    <row r="345" spans="2:25" ht="14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P345" s="15"/>
      <c r="Q345" s="15"/>
      <c r="T345" s="15"/>
      <c r="U345" s="15"/>
      <c r="V345" s="15"/>
      <c r="W345" s="15"/>
      <c r="X345" s="15"/>
      <c r="Y345" s="15"/>
    </row>
    <row r="346" spans="2:25" ht="14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P346" s="15"/>
      <c r="Q346" s="15"/>
      <c r="T346" s="15"/>
      <c r="U346" s="15"/>
      <c r="V346" s="15"/>
      <c r="W346" s="15"/>
      <c r="X346" s="15"/>
      <c r="Y346" s="15"/>
    </row>
    <row r="347" spans="2:25" ht="14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P347" s="15"/>
      <c r="Q347" s="15"/>
      <c r="T347" s="15"/>
      <c r="U347" s="15"/>
      <c r="V347" s="15"/>
      <c r="W347" s="15"/>
      <c r="X347" s="15"/>
      <c r="Y347" s="15"/>
    </row>
    <row r="348" spans="2:25" ht="14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P348" s="15"/>
      <c r="Q348" s="15"/>
      <c r="T348" s="15"/>
      <c r="U348" s="15"/>
      <c r="V348" s="15"/>
      <c r="W348" s="15"/>
      <c r="X348" s="15"/>
      <c r="Y348" s="15"/>
    </row>
    <row r="349" spans="2:25" ht="14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P349" s="15"/>
      <c r="Q349" s="15"/>
      <c r="T349" s="15"/>
      <c r="U349" s="15"/>
      <c r="V349" s="15"/>
      <c r="W349" s="15"/>
      <c r="X349" s="15"/>
      <c r="Y349" s="15"/>
    </row>
    <row r="350" spans="2:25" ht="14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P350" s="15"/>
      <c r="Q350" s="15"/>
      <c r="T350" s="15"/>
      <c r="U350" s="15"/>
      <c r="V350" s="15"/>
      <c r="W350" s="15"/>
      <c r="X350" s="15"/>
      <c r="Y350" s="15"/>
    </row>
    <row r="351" spans="2:25" ht="14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P351" s="15"/>
      <c r="Q351" s="15"/>
      <c r="T351" s="15"/>
      <c r="U351" s="15"/>
      <c r="V351" s="15"/>
      <c r="W351" s="15"/>
      <c r="X351" s="15"/>
      <c r="Y351" s="15"/>
    </row>
    <row r="352" spans="2:25" ht="14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P352" s="15"/>
      <c r="Q352" s="15"/>
      <c r="T352" s="15"/>
      <c r="U352" s="15"/>
      <c r="V352" s="15"/>
      <c r="W352" s="15"/>
      <c r="X352" s="15"/>
      <c r="Y352" s="15"/>
    </row>
    <row r="353" spans="2:25" ht="14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P353" s="15"/>
      <c r="Q353" s="15"/>
      <c r="T353" s="15"/>
      <c r="U353" s="15"/>
      <c r="V353" s="15"/>
      <c r="W353" s="15"/>
      <c r="X353" s="15"/>
      <c r="Y353" s="15"/>
    </row>
    <row r="354" spans="2:25" ht="14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P354" s="15"/>
      <c r="Q354" s="15"/>
      <c r="T354" s="15"/>
      <c r="U354" s="15"/>
      <c r="V354" s="15"/>
      <c r="W354" s="15"/>
      <c r="X354" s="15"/>
      <c r="Y354" s="15"/>
    </row>
    <row r="355" spans="2:25" ht="14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P355" s="15"/>
      <c r="Q355" s="15"/>
      <c r="T355" s="15"/>
      <c r="U355" s="15"/>
      <c r="V355" s="15"/>
      <c r="W355" s="15"/>
      <c r="X355" s="15"/>
      <c r="Y355" s="15"/>
    </row>
    <row r="356" spans="2:25" ht="14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P356" s="15"/>
      <c r="Q356" s="15"/>
      <c r="T356" s="15"/>
      <c r="U356" s="15"/>
      <c r="V356" s="15"/>
      <c r="W356" s="15"/>
      <c r="X356" s="15"/>
      <c r="Y356" s="15"/>
    </row>
    <row r="357" spans="2:25" ht="14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P357" s="15"/>
      <c r="Q357" s="15"/>
      <c r="T357" s="15"/>
      <c r="U357" s="15"/>
      <c r="V357" s="15"/>
      <c r="W357" s="15"/>
      <c r="X357" s="15"/>
      <c r="Y357" s="15"/>
    </row>
    <row r="358" spans="2:25" ht="14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P358" s="15"/>
      <c r="Q358" s="15"/>
      <c r="T358" s="15"/>
      <c r="U358" s="15"/>
      <c r="V358" s="15"/>
      <c r="W358" s="15"/>
      <c r="X358" s="15"/>
      <c r="Y358" s="15"/>
    </row>
    <row r="359" spans="2:25" ht="14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P359" s="15"/>
      <c r="Q359" s="15"/>
      <c r="T359" s="15"/>
      <c r="U359" s="15"/>
      <c r="V359" s="15"/>
      <c r="W359" s="15"/>
      <c r="X359" s="15"/>
      <c r="Y359" s="15"/>
    </row>
    <row r="360" spans="2:25" ht="14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P360" s="15"/>
      <c r="Q360" s="15"/>
      <c r="T360" s="15"/>
      <c r="U360" s="15"/>
      <c r="V360" s="15"/>
      <c r="W360" s="15"/>
      <c r="X360" s="15"/>
      <c r="Y360" s="15"/>
    </row>
    <row r="361" spans="2:25" ht="14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P361" s="15"/>
      <c r="Q361" s="15"/>
      <c r="T361" s="15"/>
      <c r="U361" s="15"/>
      <c r="V361" s="15"/>
      <c r="W361" s="15"/>
      <c r="X361" s="15"/>
      <c r="Y361" s="15"/>
    </row>
    <row r="362" spans="2:25" ht="14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P362" s="15"/>
      <c r="Q362" s="15"/>
      <c r="T362" s="15"/>
      <c r="U362" s="15"/>
      <c r="V362" s="15"/>
      <c r="W362" s="15"/>
      <c r="X362" s="15"/>
      <c r="Y362" s="15"/>
    </row>
    <row r="363" spans="2:25" ht="14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P363" s="15"/>
      <c r="Q363" s="15"/>
      <c r="T363" s="15"/>
      <c r="U363" s="15"/>
      <c r="V363" s="15"/>
      <c r="W363" s="15"/>
      <c r="X363" s="15"/>
      <c r="Y363" s="15"/>
    </row>
    <row r="364" spans="2:25" ht="14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P364" s="15"/>
      <c r="Q364" s="15"/>
      <c r="T364" s="15"/>
      <c r="U364" s="15"/>
      <c r="V364" s="15"/>
      <c r="W364" s="15"/>
      <c r="X364" s="15"/>
      <c r="Y364" s="15"/>
    </row>
    <row r="365" spans="2:25" ht="14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P365" s="15"/>
      <c r="Q365" s="15"/>
      <c r="T365" s="15"/>
      <c r="U365" s="15"/>
      <c r="V365" s="15"/>
      <c r="W365" s="15"/>
      <c r="X365" s="15"/>
      <c r="Y365" s="15"/>
    </row>
    <row r="366" spans="2:25" ht="14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P366" s="15"/>
      <c r="Q366" s="15"/>
      <c r="T366" s="15"/>
      <c r="U366" s="15"/>
      <c r="V366" s="15"/>
      <c r="W366" s="15"/>
      <c r="X366" s="15"/>
      <c r="Y366" s="15"/>
    </row>
    <row r="367" spans="2:25" ht="14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P367" s="15"/>
      <c r="Q367" s="15"/>
      <c r="T367" s="15"/>
      <c r="U367" s="15"/>
      <c r="V367" s="15"/>
      <c r="W367" s="15"/>
      <c r="X367" s="15"/>
      <c r="Y367" s="15"/>
    </row>
    <row r="368" spans="2:25" ht="14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P368" s="15"/>
      <c r="Q368" s="15"/>
      <c r="T368" s="15"/>
      <c r="U368" s="15"/>
      <c r="V368" s="15"/>
      <c r="W368" s="15"/>
      <c r="X368" s="15"/>
      <c r="Y368" s="15"/>
    </row>
    <row r="369" spans="2:25" ht="14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P369" s="15"/>
      <c r="Q369" s="15"/>
      <c r="T369" s="15"/>
      <c r="U369" s="15"/>
      <c r="V369" s="15"/>
      <c r="W369" s="15"/>
      <c r="X369" s="15"/>
      <c r="Y369" s="15"/>
    </row>
    <row r="370" spans="2:25" ht="14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P370" s="15"/>
      <c r="Q370" s="15"/>
      <c r="T370" s="15"/>
      <c r="U370" s="15"/>
      <c r="V370" s="15"/>
      <c r="W370" s="15"/>
      <c r="X370" s="15"/>
      <c r="Y370" s="15"/>
    </row>
    <row r="371" spans="2:25" ht="14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P371" s="15"/>
      <c r="Q371" s="15"/>
      <c r="T371" s="15"/>
      <c r="U371" s="15"/>
      <c r="V371" s="15"/>
      <c r="W371" s="15"/>
      <c r="X371" s="15"/>
      <c r="Y371" s="15"/>
    </row>
    <row r="372" spans="2:25" ht="14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P372" s="15"/>
      <c r="Q372" s="15"/>
      <c r="T372" s="15"/>
      <c r="U372" s="15"/>
      <c r="V372" s="15"/>
      <c r="W372" s="15"/>
      <c r="X372" s="15"/>
      <c r="Y372" s="15"/>
    </row>
    <row r="373" spans="2:25" ht="14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P373" s="15"/>
      <c r="Q373" s="15"/>
      <c r="T373" s="15"/>
      <c r="U373" s="15"/>
      <c r="V373" s="15"/>
      <c r="W373" s="15"/>
      <c r="X373" s="15"/>
      <c r="Y373" s="15"/>
    </row>
    <row r="374" spans="2:25" ht="14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P374" s="15"/>
      <c r="Q374" s="15"/>
      <c r="T374" s="15"/>
      <c r="U374" s="15"/>
      <c r="V374" s="15"/>
      <c r="W374" s="15"/>
      <c r="X374" s="15"/>
      <c r="Y374" s="15"/>
    </row>
    <row r="375" spans="2:25" ht="14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P375" s="15"/>
      <c r="Q375" s="15"/>
      <c r="T375" s="15"/>
      <c r="U375" s="15"/>
      <c r="V375" s="15"/>
      <c r="W375" s="15"/>
      <c r="X375" s="15"/>
      <c r="Y375" s="15"/>
    </row>
    <row r="376" spans="2:25" ht="14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P376" s="15"/>
      <c r="Q376" s="15"/>
      <c r="T376" s="15"/>
      <c r="U376" s="15"/>
      <c r="V376" s="15"/>
      <c r="W376" s="15"/>
      <c r="X376" s="15"/>
      <c r="Y376" s="15"/>
    </row>
    <row r="377" spans="2:25" ht="14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P377" s="15"/>
      <c r="Q377" s="15"/>
      <c r="T377" s="15"/>
      <c r="U377" s="15"/>
      <c r="V377" s="15"/>
      <c r="W377" s="15"/>
      <c r="X377" s="15"/>
      <c r="Y377" s="15"/>
    </row>
    <row r="378" spans="2:25" ht="14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P378" s="15"/>
      <c r="Q378" s="15"/>
      <c r="T378" s="15"/>
      <c r="U378" s="15"/>
      <c r="V378" s="15"/>
      <c r="W378" s="15"/>
      <c r="X378" s="15"/>
      <c r="Y378" s="15"/>
    </row>
    <row r="379" spans="2:25" ht="14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P379" s="15"/>
      <c r="Q379" s="15"/>
      <c r="T379" s="15"/>
      <c r="U379" s="15"/>
      <c r="V379" s="15"/>
      <c r="W379" s="15"/>
      <c r="X379" s="15"/>
      <c r="Y379" s="15"/>
    </row>
    <row r="380" spans="2:25" ht="14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P380" s="15"/>
      <c r="Q380" s="15"/>
      <c r="T380" s="15"/>
      <c r="U380" s="15"/>
      <c r="V380" s="15"/>
      <c r="W380" s="15"/>
      <c r="X380" s="15"/>
      <c r="Y380" s="15"/>
    </row>
    <row r="381" spans="2:25" ht="14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P381" s="15"/>
      <c r="Q381" s="15"/>
      <c r="T381" s="15"/>
      <c r="U381" s="15"/>
      <c r="V381" s="15"/>
      <c r="W381" s="15"/>
      <c r="X381" s="15"/>
      <c r="Y381" s="15"/>
    </row>
    <row r="382" spans="2:25" ht="14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P382" s="15"/>
      <c r="Q382" s="15"/>
      <c r="T382" s="15"/>
      <c r="U382" s="15"/>
      <c r="V382" s="15"/>
      <c r="W382" s="15"/>
      <c r="X382" s="15"/>
      <c r="Y382" s="15"/>
    </row>
    <row r="383" spans="2:25" ht="14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P383" s="15"/>
      <c r="Q383" s="15"/>
      <c r="T383" s="15"/>
      <c r="U383" s="15"/>
      <c r="V383" s="15"/>
      <c r="W383" s="15"/>
      <c r="X383" s="15"/>
      <c r="Y383" s="15"/>
    </row>
    <row r="384" spans="2:25" ht="14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P384" s="15"/>
      <c r="Q384" s="15"/>
      <c r="T384" s="15"/>
      <c r="U384" s="15"/>
      <c r="V384" s="15"/>
      <c r="W384" s="15"/>
      <c r="X384" s="15"/>
      <c r="Y384" s="15"/>
    </row>
    <row r="385" spans="2:25" ht="14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P385" s="15"/>
      <c r="Q385" s="15"/>
      <c r="T385" s="15"/>
      <c r="U385" s="15"/>
      <c r="V385" s="15"/>
      <c r="W385" s="15"/>
      <c r="X385" s="15"/>
      <c r="Y385" s="15"/>
    </row>
    <row r="386" spans="2:25" ht="14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P386" s="15"/>
      <c r="Q386" s="15"/>
      <c r="T386" s="15"/>
      <c r="U386" s="15"/>
      <c r="V386" s="15"/>
      <c r="W386" s="15"/>
      <c r="X386" s="15"/>
      <c r="Y386" s="15"/>
    </row>
    <row r="387" spans="2:25" ht="14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P387" s="15"/>
      <c r="Q387" s="15"/>
      <c r="T387" s="15"/>
      <c r="U387" s="15"/>
      <c r="V387" s="15"/>
      <c r="W387" s="15"/>
      <c r="X387" s="15"/>
      <c r="Y387" s="15"/>
    </row>
    <row r="388" spans="2:25" ht="14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P388" s="15"/>
      <c r="Q388" s="15"/>
      <c r="T388" s="15"/>
      <c r="U388" s="15"/>
      <c r="V388" s="15"/>
      <c r="W388" s="15"/>
      <c r="X388" s="15"/>
      <c r="Y388" s="15"/>
    </row>
    <row r="389" spans="2:25" ht="14.2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P389" s="15"/>
      <c r="Q389" s="15"/>
      <c r="T389" s="15"/>
      <c r="U389" s="15"/>
      <c r="V389" s="15"/>
      <c r="W389" s="15"/>
      <c r="X389" s="15"/>
      <c r="Y389" s="15"/>
    </row>
    <row r="390" spans="2:25" ht="14.2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P390" s="15"/>
      <c r="Q390" s="15"/>
      <c r="T390" s="15"/>
      <c r="U390" s="15"/>
      <c r="V390" s="15"/>
      <c r="W390" s="15"/>
      <c r="X390" s="15"/>
      <c r="Y390" s="15"/>
    </row>
    <row r="391" spans="2:25" ht="14.2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P391" s="15"/>
      <c r="Q391" s="15"/>
      <c r="T391" s="15"/>
      <c r="U391" s="15"/>
      <c r="V391" s="15"/>
      <c r="W391" s="15"/>
      <c r="X391" s="15"/>
      <c r="Y391" s="15"/>
    </row>
    <row r="392" spans="2:25" ht="14.2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P392" s="15"/>
      <c r="Q392" s="15"/>
      <c r="T392" s="15"/>
      <c r="U392" s="15"/>
      <c r="V392" s="15"/>
      <c r="W392" s="15"/>
      <c r="X392" s="15"/>
      <c r="Y392" s="15"/>
    </row>
    <row r="393" spans="2:25" ht="14.2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P393" s="15"/>
      <c r="Q393" s="15"/>
      <c r="T393" s="15"/>
      <c r="U393" s="15"/>
      <c r="V393" s="15"/>
      <c r="W393" s="15"/>
      <c r="X393" s="15"/>
      <c r="Y393" s="15"/>
    </row>
    <row r="394" spans="2:25" ht="14.2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P394" s="15"/>
      <c r="Q394" s="15"/>
      <c r="T394" s="15"/>
      <c r="U394" s="15"/>
      <c r="V394" s="15"/>
      <c r="W394" s="15"/>
      <c r="X394" s="15"/>
      <c r="Y394" s="15"/>
    </row>
    <row r="395" spans="2:25" ht="14.2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P395" s="15"/>
      <c r="Q395" s="15"/>
      <c r="T395" s="15"/>
      <c r="U395" s="15"/>
      <c r="V395" s="15"/>
      <c r="W395" s="15"/>
      <c r="X395" s="15"/>
      <c r="Y395" s="15"/>
    </row>
    <row r="396" spans="2:25" ht="14.2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P396" s="15"/>
      <c r="Q396" s="15"/>
      <c r="T396" s="15"/>
      <c r="U396" s="15"/>
      <c r="V396" s="15"/>
      <c r="W396" s="15"/>
      <c r="X396" s="15"/>
      <c r="Y396" s="15"/>
    </row>
    <row r="397" spans="2:25" ht="14.2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P397" s="15"/>
      <c r="Q397" s="15"/>
      <c r="T397" s="15"/>
      <c r="U397" s="15"/>
      <c r="V397" s="15"/>
      <c r="W397" s="15"/>
      <c r="X397" s="15"/>
      <c r="Y397" s="15"/>
    </row>
    <row r="398" spans="2:25" ht="14.2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P398" s="15"/>
      <c r="Q398" s="15"/>
      <c r="T398" s="15"/>
      <c r="U398" s="15"/>
      <c r="V398" s="15"/>
      <c r="W398" s="15"/>
      <c r="X398" s="15"/>
      <c r="Y398" s="15"/>
    </row>
    <row r="399" spans="2:25" ht="14.2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P399" s="15"/>
      <c r="Q399" s="15"/>
      <c r="T399" s="15"/>
      <c r="U399" s="15"/>
      <c r="V399" s="15"/>
      <c r="W399" s="15"/>
      <c r="X399" s="15"/>
      <c r="Y399" s="15"/>
    </row>
    <row r="400" spans="2:25" ht="14.2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P400" s="15"/>
      <c r="Q400" s="15"/>
      <c r="T400" s="15"/>
      <c r="U400" s="15"/>
      <c r="V400" s="15"/>
      <c r="W400" s="15"/>
      <c r="X400" s="15"/>
      <c r="Y400" s="15"/>
    </row>
    <row r="401" spans="2:25" ht="14.2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P401" s="15"/>
      <c r="Q401" s="15"/>
      <c r="T401" s="15"/>
      <c r="U401" s="15"/>
      <c r="V401" s="15"/>
      <c r="W401" s="15"/>
      <c r="X401" s="15"/>
      <c r="Y401" s="15"/>
    </row>
    <row r="402" spans="2:25" ht="14.2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P402" s="15"/>
      <c r="Q402" s="15"/>
      <c r="T402" s="15"/>
      <c r="U402" s="15"/>
      <c r="V402" s="15"/>
      <c r="W402" s="15"/>
      <c r="X402" s="15"/>
      <c r="Y402" s="15"/>
    </row>
    <row r="403" spans="2:25" ht="14.2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P403" s="15"/>
      <c r="Q403" s="15"/>
      <c r="T403" s="15"/>
      <c r="U403" s="15"/>
      <c r="V403" s="15"/>
      <c r="W403" s="15"/>
      <c r="X403" s="15"/>
      <c r="Y403" s="15"/>
    </row>
    <row r="404" spans="2:25" ht="14.2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P404" s="15"/>
      <c r="Q404" s="15"/>
      <c r="T404" s="15"/>
      <c r="U404" s="15"/>
      <c r="V404" s="15"/>
      <c r="W404" s="15"/>
      <c r="X404" s="15"/>
      <c r="Y404" s="15"/>
    </row>
    <row r="405" spans="2:25" ht="14.2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P405" s="15"/>
      <c r="Q405" s="15"/>
      <c r="T405" s="15"/>
      <c r="U405" s="15"/>
      <c r="V405" s="15"/>
      <c r="W405" s="15"/>
      <c r="X405" s="15"/>
      <c r="Y405" s="15"/>
    </row>
    <row r="406" spans="2:25" ht="14.2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P406" s="15"/>
      <c r="Q406" s="15"/>
      <c r="T406" s="15"/>
      <c r="U406" s="15"/>
      <c r="V406" s="15"/>
      <c r="W406" s="15"/>
      <c r="X406" s="15"/>
      <c r="Y406" s="15"/>
    </row>
    <row r="407" spans="2:25" ht="14.2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P407" s="15"/>
      <c r="Q407" s="15"/>
      <c r="T407" s="15"/>
      <c r="U407" s="15"/>
      <c r="V407" s="15"/>
      <c r="W407" s="15"/>
      <c r="X407" s="15"/>
      <c r="Y407" s="15"/>
    </row>
    <row r="408" spans="2:25" ht="14.2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P408" s="15"/>
      <c r="Q408" s="15"/>
      <c r="T408" s="15"/>
      <c r="U408" s="15"/>
      <c r="V408" s="15"/>
      <c r="W408" s="15"/>
      <c r="X408" s="15"/>
      <c r="Y408" s="15"/>
    </row>
    <row r="409" spans="2:25" ht="14.2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P409" s="15"/>
      <c r="Q409" s="15"/>
      <c r="T409" s="15"/>
      <c r="U409" s="15"/>
      <c r="V409" s="15"/>
      <c r="W409" s="15"/>
      <c r="X409" s="15"/>
      <c r="Y409" s="15"/>
    </row>
    <row r="410" spans="2:25" ht="14.2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P410" s="15"/>
      <c r="Q410" s="15"/>
      <c r="T410" s="15"/>
      <c r="U410" s="15"/>
      <c r="V410" s="15"/>
      <c r="W410" s="15"/>
      <c r="X410" s="15"/>
      <c r="Y410" s="15"/>
    </row>
    <row r="411" spans="2:25" ht="14.2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P411" s="15"/>
      <c r="Q411" s="15"/>
      <c r="T411" s="15"/>
      <c r="U411" s="15"/>
      <c r="V411" s="15"/>
      <c r="W411" s="15"/>
      <c r="X411" s="15"/>
      <c r="Y411" s="15"/>
    </row>
    <row r="412" spans="2:25" ht="14.2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P412" s="15"/>
      <c r="Q412" s="15"/>
      <c r="T412" s="15"/>
      <c r="U412" s="15"/>
      <c r="V412" s="15"/>
      <c r="W412" s="15"/>
      <c r="X412" s="15"/>
      <c r="Y412" s="15"/>
    </row>
    <row r="413" spans="2:25" ht="14.2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P413" s="15"/>
      <c r="Q413" s="15"/>
      <c r="T413" s="15"/>
      <c r="U413" s="15"/>
      <c r="V413" s="15"/>
      <c r="W413" s="15"/>
      <c r="X413" s="15"/>
      <c r="Y413" s="15"/>
    </row>
    <row r="414" spans="2:25" ht="14.2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P414" s="15"/>
      <c r="Q414" s="15"/>
      <c r="T414" s="15"/>
      <c r="U414" s="15"/>
      <c r="V414" s="15"/>
      <c r="W414" s="15"/>
      <c r="X414" s="15"/>
      <c r="Y414" s="15"/>
    </row>
    <row r="415" spans="2:25" ht="14.2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P415" s="15"/>
      <c r="Q415" s="15"/>
      <c r="T415" s="15"/>
      <c r="U415" s="15"/>
      <c r="V415" s="15"/>
      <c r="W415" s="15"/>
      <c r="X415" s="15"/>
      <c r="Y415" s="15"/>
    </row>
    <row r="416" spans="2:25" ht="14.2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P416" s="15"/>
      <c r="Q416" s="15"/>
      <c r="T416" s="15"/>
      <c r="U416" s="15"/>
      <c r="V416" s="15"/>
      <c r="W416" s="15"/>
      <c r="X416" s="15"/>
      <c r="Y416" s="15"/>
    </row>
    <row r="417" spans="2:25" ht="14.2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P417" s="15"/>
      <c r="Q417" s="15"/>
      <c r="T417" s="15"/>
      <c r="U417" s="15"/>
      <c r="V417" s="15"/>
      <c r="W417" s="15"/>
      <c r="X417" s="15"/>
      <c r="Y417" s="15"/>
    </row>
    <row r="418" spans="2:25" ht="14.2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P418" s="15"/>
      <c r="Q418" s="15"/>
      <c r="T418" s="15"/>
      <c r="U418" s="15"/>
      <c r="V418" s="15"/>
      <c r="W418" s="15"/>
      <c r="X418" s="15"/>
      <c r="Y418" s="15"/>
    </row>
    <row r="419" spans="2:25" ht="14.2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P419" s="15"/>
      <c r="Q419" s="15"/>
      <c r="T419" s="15"/>
      <c r="U419" s="15"/>
      <c r="V419" s="15"/>
      <c r="W419" s="15"/>
      <c r="X419" s="15"/>
      <c r="Y419" s="15"/>
    </row>
    <row r="420" spans="2:25" ht="14.2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P420" s="15"/>
      <c r="Q420" s="15"/>
      <c r="T420" s="15"/>
      <c r="U420" s="15"/>
      <c r="V420" s="15"/>
      <c r="W420" s="15"/>
      <c r="X420" s="15"/>
      <c r="Y420" s="15"/>
    </row>
    <row r="421" spans="2:25" ht="14.2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P421" s="15"/>
      <c r="Q421" s="15"/>
      <c r="T421" s="15"/>
      <c r="U421" s="15"/>
      <c r="V421" s="15"/>
      <c r="W421" s="15"/>
      <c r="X421" s="15"/>
      <c r="Y421" s="15"/>
    </row>
    <row r="422" spans="2:25" ht="14.2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P422" s="15"/>
      <c r="Q422" s="15"/>
      <c r="T422" s="15"/>
      <c r="U422" s="15"/>
      <c r="V422" s="15"/>
      <c r="W422" s="15"/>
      <c r="X422" s="15"/>
      <c r="Y422" s="15"/>
    </row>
    <row r="423" spans="2:25" ht="14.2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P423" s="15"/>
      <c r="Q423" s="15"/>
      <c r="T423" s="15"/>
      <c r="U423" s="15"/>
      <c r="V423" s="15"/>
      <c r="W423" s="15"/>
      <c r="X423" s="15"/>
      <c r="Y423" s="15"/>
    </row>
    <row r="424" spans="2:25" ht="14.2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P424" s="15"/>
      <c r="Q424" s="15"/>
      <c r="T424" s="15"/>
      <c r="U424" s="15"/>
      <c r="V424" s="15"/>
      <c r="W424" s="15"/>
      <c r="X424" s="15"/>
      <c r="Y424" s="15"/>
    </row>
    <row r="425" spans="2:25" ht="14.2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P425" s="15"/>
      <c r="Q425" s="15"/>
      <c r="T425" s="15"/>
      <c r="U425" s="15"/>
      <c r="V425" s="15"/>
      <c r="W425" s="15"/>
      <c r="X425" s="15"/>
      <c r="Y425" s="15"/>
    </row>
    <row r="426" spans="2:25" ht="14.2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P426" s="15"/>
      <c r="Q426" s="15"/>
      <c r="T426" s="15"/>
      <c r="U426" s="15"/>
      <c r="V426" s="15"/>
      <c r="W426" s="15"/>
      <c r="X426" s="15"/>
      <c r="Y426" s="15"/>
    </row>
    <row r="427" spans="2:25" ht="14.2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P427" s="15"/>
      <c r="Q427" s="15"/>
      <c r="T427" s="15"/>
      <c r="U427" s="15"/>
      <c r="V427" s="15"/>
      <c r="W427" s="15"/>
      <c r="X427" s="15"/>
      <c r="Y427" s="15"/>
    </row>
    <row r="428" spans="2:25" ht="14.2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P428" s="15"/>
      <c r="Q428" s="15"/>
      <c r="T428" s="15"/>
      <c r="U428" s="15"/>
      <c r="V428" s="15"/>
      <c r="W428" s="15"/>
      <c r="X428" s="15"/>
      <c r="Y428" s="15"/>
    </row>
    <row r="429" spans="2:25" ht="14.2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P429" s="15"/>
      <c r="Q429" s="15"/>
      <c r="T429" s="15"/>
      <c r="U429" s="15"/>
      <c r="V429" s="15"/>
      <c r="W429" s="15"/>
      <c r="X429" s="15"/>
      <c r="Y429" s="15"/>
    </row>
    <row r="430" spans="2:25" ht="14.2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P430" s="15"/>
      <c r="Q430" s="15"/>
      <c r="T430" s="15"/>
      <c r="U430" s="15"/>
      <c r="V430" s="15"/>
      <c r="W430" s="15"/>
      <c r="X430" s="15"/>
      <c r="Y430" s="15"/>
    </row>
    <row r="431" spans="2:25" ht="14.2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P431" s="15"/>
      <c r="Q431" s="15"/>
      <c r="T431" s="15"/>
      <c r="U431" s="15"/>
      <c r="V431" s="15"/>
      <c r="W431" s="15"/>
      <c r="X431" s="15"/>
      <c r="Y431" s="15"/>
    </row>
    <row r="432" spans="2:25" ht="14.2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P432" s="15"/>
      <c r="Q432" s="15"/>
      <c r="T432" s="15"/>
      <c r="U432" s="15"/>
      <c r="V432" s="15"/>
      <c r="W432" s="15"/>
      <c r="X432" s="15"/>
      <c r="Y432" s="15"/>
    </row>
    <row r="433" spans="2:25" ht="14.2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P433" s="15"/>
      <c r="Q433" s="15"/>
      <c r="T433" s="15"/>
      <c r="U433" s="15"/>
      <c r="V433" s="15"/>
      <c r="W433" s="15"/>
      <c r="X433" s="15"/>
      <c r="Y433" s="15"/>
    </row>
    <row r="434" spans="2:25" ht="14.2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P434" s="15"/>
      <c r="Q434" s="15"/>
      <c r="T434" s="15"/>
      <c r="U434" s="15"/>
      <c r="V434" s="15"/>
      <c r="W434" s="15"/>
      <c r="X434" s="15"/>
      <c r="Y434" s="15"/>
    </row>
    <row r="435" spans="2:25" ht="14.2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P435" s="15"/>
      <c r="Q435" s="15"/>
      <c r="T435" s="15"/>
      <c r="U435" s="15"/>
      <c r="V435" s="15"/>
      <c r="W435" s="15"/>
      <c r="X435" s="15"/>
      <c r="Y435" s="15"/>
    </row>
    <row r="436" spans="2:25" ht="14.2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P436" s="15"/>
      <c r="Q436" s="15"/>
      <c r="T436" s="15"/>
      <c r="U436" s="15"/>
      <c r="V436" s="15"/>
      <c r="W436" s="15"/>
      <c r="X436" s="15"/>
      <c r="Y436" s="15"/>
    </row>
    <row r="437" spans="2:25" ht="14.2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P437" s="15"/>
      <c r="Q437" s="15"/>
      <c r="T437" s="15"/>
      <c r="U437" s="15"/>
      <c r="V437" s="15"/>
      <c r="W437" s="15"/>
      <c r="X437" s="15"/>
      <c r="Y437" s="15"/>
    </row>
    <row r="438" spans="2:25" ht="14.2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P438" s="15"/>
      <c r="Q438" s="15"/>
      <c r="T438" s="15"/>
      <c r="U438" s="15"/>
      <c r="V438" s="15"/>
      <c r="W438" s="15"/>
      <c r="X438" s="15"/>
      <c r="Y438" s="15"/>
    </row>
    <row r="439" spans="2:25" ht="14.2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P439" s="15"/>
      <c r="Q439" s="15"/>
      <c r="T439" s="15"/>
      <c r="U439" s="15"/>
      <c r="V439" s="15"/>
      <c r="W439" s="15"/>
      <c r="X439" s="15"/>
      <c r="Y439" s="15"/>
    </row>
    <row r="440" spans="2:25" ht="14.2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P440" s="15"/>
      <c r="Q440" s="15"/>
      <c r="T440" s="15"/>
      <c r="U440" s="15"/>
      <c r="V440" s="15"/>
      <c r="W440" s="15"/>
      <c r="X440" s="15"/>
      <c r="Y440" s="15"/>
    </row>
    <row r="441" spans="2:25" ht="14.2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P441" s="15"/>
      <c r="Q441" s="15"/>
      <c r="T441" s="15"/>
      <c r="U441" s="15"/>
      <c r="V441" s="15"/>
      <c r="W441" s="15"/>
      <c r="X441" s="15"/>
      <c r="Y441" s="15"/>
    </row>
    <row r="442" spans="2:25" ht="14.2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P442" s="15"/>
      <c r="Q442" s="15"/>
      <c r="T442" s="15"/>
      <c r="U442" s="15"/>
      <c r="V442" s="15"/>
      <c r="W442" s="15"/>
      <c r="X442" s="15"/>
      <c r="Y442" s="15"/>
    </row>
    <row r="443" spans="2:25" ht="14.2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P443" s="15"/>
      <c r="Q443" s="15"/>
      <c r="T443" s="15"/>
      <c r="U443" s="15"/>
      <c r="V443" s="15"/>
      <c r="W443" s="15"/>
      <c r="X443" s="15"/>
      <c r="Y443" s="15"/>
    </row>
    <row r="444" spans="2:25" ht="14.2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P444" s="15"/>
      <c r="Q444" s="15"/>
      <c r="T444" s="15"/>
      <c r="U444" s="15"/>
      <c r="V444" s="15"/>
      <c r="W444" s="15"/>
      <c r="X444" s="15"/>
      <c r="Y444" s="15"/>
    </row>
    <row r="445" spans="2:25" ht="14.2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P445" s="15"/>
      <c r="Q445" s="15"/>
      <c r="T445" s="15"/>
      <c r="U445" s="15"/>
      <c r="V445" s="15"/>
      <c r="W445" s="15"/>
      <c r="X445" s="15"/>
      <c r="Y445" s="15"/>
    </row>
    <row r="446" spans="2:25" ht="14.2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P446" s="15"/>
      <c r="Q446" s="15"/>
      <c r="T446" s="15"/>
      <c r="U446" s="15"/>
      <c r="V446" s="15"/>
      <c r="W446" s="15"/>
      <c r="X446" s="15"/>
      <c r="Y446" s="15"/>
    </row>
    <row r="447" spans="2:25" ht="14.2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P447" s="15"/>
      <c r="Q447" s="15"/>
      <c r="T447" s="15"/>
      <c r="U447" s="15"/>
      <c r="V447" s="15"/>
      <c r="W447" s="15"/>
      <c r="X447" s="15"/>
      <c r="Y447" s="15"/>
    </row>
    <row r="448" spans="2:25" ht="14.2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P448" s="15"/>
      <c r="Q448" s="15"/>
      <c r="T448" s="15"/>
      <c r="U448" s="15"/>
      <c r="V448" s="15"/>
      <c r="W448" s="15"/>
      <c r="X448" s="15"/>
      <c r="Y448" s="15"/>
    </row>
    <row r="449" spans="2:25" ht="14.2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P449" s="15"/>
      <c r="Q449" s="15"/>
      <c r="T449" s="15"/>
      <c r="U449" s="15"/>
      <c r="V449" s="15"/>
      <c r="W449" s="15"/>
      <c r="X449" s="15"/>
      <c r="Y449" s="15"/>
    </row>
    <row r="450" spans="2:25" ht="14.2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P450" s="15"/>
      <c r="Q450" s="15"/>
      <c r="T450" s="15"/>
      <c r="U450" s="15"/>
      <c r="V450" s="15"/>
      <c r="W450" s="15"/>
      <c r="X450" s="15"/>
      <c r="Y450" s="15"/>
    </row>
    <row r="451" spans="2:25" ht="14.2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P451" s="15"/>
      <c r="Q451" s="15"/>
      <c r="T451" s="15"/>
      <c r="U451" s="15"/>
      <c r="V451" s="15"/>
      <c r="W451" s="15"/>
      <c r="X451" s="15"/>
      <c r="Y451" s="15"/>
    </row>
    <row r="452" spans="2:25" ht="14.2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P452" s="15"/>
      <c r="Q452" s="15"/>
      <c r="T452" s="15"/>
      <c r="U452" s="15"/>
      <c r="V452" s="15"/>
      <c r="W452" s="15"/>
      <c r="X452" s="15"/>
      <c r="Y452" s="15"/>
    </row>
    <row r="453" spans="2:25" ht="14.2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P453" s="15"/>
      <c r="Q453" s="15"/>
      <c r="T453" s="15"/>
      <c r="U453" s="15"/>
      <c r="V453" s="15"/>
      <c r="W453" s="15"/>
      <c r="X453" s="15"/>
      <c r="Y453" s="15"/>
    </row>
    <row r="454" spans="2:25" ht="14.2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P454" s="15"/>
      <c r="Q454" s="15"/>
      <c r="T454" s="15"/>
      <c r="U454" s="15"/>
      <c r="V454" s="15"/>
      <c r="W454" s="15"/>
      <c r="X454" s="15"/>
      <c r="Y454" s="15"/>
    </row>
    <row r="455" spans="2:25" ht="14.2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P455" s="15"/>
      <c r="Q455" s="15"/>
      <c r="T455" s="15"/>
      <c r="U455" s="15"/>
      <c r="V455" s="15"/>
      <c r="W455" s="15"/>
      <c r="X455" s="15"/>
      <c r="Y455" s="15"/>
    </row>
    <row r="456" spans="2:25" ht="14.2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P456" s="15"/>
      <c r="Q456" s="15"/>
      <c r="T456" s="15"/>
      <c r="U456" s="15"/>
      <c r="V456" s="15"/>
      <c r="W456" s="15"/>
      <c r="X456" s="15"/>
      <c r="Y456" s="15"/>
    </row>
    <row r="457" spans="2:25" ht="14.2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P457" s="15"/>
      <c r="Q457" s="15"/>
      <c r="T457" s="15"/>
      <c r="U457" s="15"/>
      <c r="V457" s="15"/>
      <c r="W457" s="15"/>
      <c r="X457" s="15"/>
      <c r="Y457" s="15"/>
    </row>
    <row r="458" spans="2:25" ht="14.2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P458" s="15"/>
      <c r="Q458" s="15"/>
      <c r="T458" s="15"/>
      <c r="U458" s="15"/>
      <c r="V458" s="15"/>
      <c r="W458" s="15"/>
      <c r="X458" s="15"/>
      <c r="Y458" s="15"/>
    </row>
    <row r="459" spans="2:25" ht="14.2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P459" s="15"/>
      <c r="Q459" s="15"/>
      <c r="T459" s="15"/>
      <c r="U459" s="15"/>
      <c r="V459" s="15"/>
      <c r="W459" s="15"/>
      <c r="X459" s="15"/>
      <c r="Y459" s="15"/>
    </row>
    <row r="460" spans="2:25" ht="14.2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P460" s="15"/>
      <c r="Q460" s="15"/>
      <c r="T460" s="15"/>
      <c r="U460" s="15"/>
      <c r="V460" s="15"/>
      <c r="W460" s="15"/>
      <c r="X460" s="15"/>
      <c r="Y460" s="15"/>
    </row>
    <row r="461" spans="2:25" ht="14.2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P461" s="15"/>
      <c r="Q461" s="15"/>
      <c r="T461" s="15"/>
      <c r="U461" s="15"/>
      <c r="V461" s="15"/>
      <c r="W461" s="15"/>
      <c r="X461" s="15"/>
      <c r="Y461" s="15"/>
    </row>
    <row r="462" spans="2:25" ht="14.2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P462" s="15"/>
      <c r="Q462" s="15"/>
      <c r="T462" s="15"/>
      <c r="U462" s="15"/>
      <c r="V462" s="15"/>
      <c r="W462" s="15"/>
      <c r="X462" s="15"/>
      <c r="Y462" s="15"/>
    </row>
    <row r="463" spans="2:25" ht="14.2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P463" s="15"/>
      <c r="Q463" s="15"/>
      <c r="T463" s="15"/>
      <c r="U463" s="15"/>
      <c r="V463" s="15"/>
      <c r="W463" s="15"/>
      <c r="X463" s="15"/>
      <c r="Y463" s="15"/>
    </row>
    <row r="464" spans="2:25" ht="14.2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P464" s="15"/>
      <c r="Q464" s="15"/>
      <c r="T464" s="15"/>
      <c r="U464" s="15"/>
      <c r="V464" s="15"/>
      <c r="W464" s="15"/>
      <c r="X464" s="15"/>
      <c r="Y464" s="15"/>
    </row>
    <row r="465" spans="2:25" ht="14.2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P465" s="15"/>
      <c r="Q465" s="15"/>
      <c r="T465" s="15"/>
      <c r="U465" s="15"/>
      <c r="V465" s="15"/>
      <c r="W465" s="15"/>
      <c r="X465" s="15"/>
      <c r="Y465" s="15"/>
    </row>
    <row r="466" spans="2:25" ht="14.2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P466" s="15"/>
      <c r="Q466" s="15"/>
      <c r="T466" s="15"/>
      <c r="U466" s="15"/>
      <c r="V466" s="15"/>
      <c r="W466" s="15"/>
      <c r="X466" s="15"/>
      <c r="Y466" s="15"/>
    </row>
    <row r="467" spans="2:25" ht="14.2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P467" s="15"/>
      <c r="Q467" s="15"/>
      <c r="T467" s="15"/>
      <c r="U467" s="15"/>
      <c r="V467" s="15"/>
      <c r="W467" s="15"/>
      <c r="X467" s="15"/>
      <c r="Y467" s="15"/>
    </row>
    <row r="468" spans="2:25" ht="14.2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P468" s="15"/>
      <c r="Q468" s="15"/>
      <c r="T468" s="15"/>
      <c r="U468" s="15"/>
      <c r="V468" s="15"/>
      <c r="W468" s="15"/>
      <c r="X468" s="15"/>
      <c r="Y468" s="15"/>
    </row>
    <row r="469" spans="2:25" ht="14.2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P469" s="15"/>
      <c r="Q469" s="15"/>
      <c r="T469" s="15"/>
      <c r="U469" s="15"/>
      <c r="V469" s="15"/>
      <c r="W469" s="15"/>
      <c r="X469" s="15"/>
      <c r="Y469" s="15"/>
    </row>
    <row r="470" spans="2:25" ht="14.2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P470" s="15"/>
      <c r="Q470" s="15"/>
      <c r="T470" s="15"/>
      <c r="U470" s="15"/>
      <c r="V470" s="15"/>
      <c r="W470" s="15"/>
      <c r="X470" s="15"/>
      <c r="Y470" s="15"/>
    </row>
    <row r="471" spans="2:25" ht="14.2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P471" s="15"/>
      <c r="Q471" s="15"/>
      <c r="T471" s="15"/>
      <c r="U471" s="15"/>
      <c r="V471" s="15"/>
      <c r="W471" s="15"/>
      <c r="X471" s="15"/>
      <c r="Y471" s="15"/>
    </row>
    <row r="472" spans="2:25" ht="14.2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P472" s="15"/>
      <c r="Q472" s="15"/>
      <c r="T472" s="15"/>
      <c r="U472" s="15"/>
      <c r="V472" s="15"/>
      <c r="W472" s="15"/>
      <c r="X472" s="15"/>
      <c r="Y472" s="15"/>
    </row>
    <row r="473" spans="2:25" ht="14.2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P473" s="15"/>
      <c r="Q473" s="15"/>
      <c r="T473" s="15"/>
      <c r="U473" s="15"/>
      <c r="V473" s="15"/>
      <c r="W473" s="15"/>
      <c r="X473" s="15"/>
      <c r="Y473" s="15"/>
    </row>
    <row r="474" spans="2:25" ht="14.2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P474" s="15"/>
      <c r="Q474" s="15"/>
      <c r="T474" s="15"/>
      <c r="U474" s="15"/>
      <c r="V474" s="15"/>
      <c r="W474" s="15"/>
      <c r="X474" s="15"/>
      <c r="Y474" s="15"/>
    </row>
    <row r="475" spans="2:25" ht="14.2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P475" s="15"/>
      <c r="Q475" s="15"/>
      <c r="T475" s="15"/>
      <c r="U475" s="15"/>
      <c r="V475" s="15"/>
      <c r="W475" s="15"/>
      <c r="X475" s="15"/>
      <c r="Y475" s="15"/>
    </row>
    <row r="476" spans="2:25" ht="14.2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P476" s="15"/>
      <c r="Q476" s="15"/>
      <c r="T476" s="15"/>
      <c r="U476" s="15"/>
      <c r="V476" s="15"/>
      <c r="W476" s="15"/>
      <c r="X476" s="15"/>
      <c r="Y476" s="15"/>
    </row>
    <row r="477" spans="2:25" ht="14.2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P477" s="15"/>
      <c r="Q477" s="15"/>
      <c r="T477" s="15"/>
      <c r="U477" s="15"/>
      <c r="V477" s="15"/>
      <c r="W477" s="15"/>
      <c r="X477" s="15"/>
      <c r="Y477" s="15"/>
    </row>
    <row r="478" spans="2:25" ht="14.2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P478" s="15"/>
      <c r="Q478" s="15"/>
      <c r="T478" s="15"/>
      <c r="U478" s="15"/>
      <c r="V478" s="15"/>
      <c r="W478" s="15"/>
      <c r="X478" s="15"/>
      <c r="Y478" s="15"/>
    </row>
    <row r="479" spans="2:25" ht="14.2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P479" s="15"/>
      <c r="Q479" s="15"/>
      <c r="T479" s="15"/>
      <c r="U479" s="15"/>
      <c r="V479" s="15"/>
      <c r="W479" s="15"/>
      <c r="X479" s="15"/>
      <c r="Y479" s="15"/>
    </row>
    <row r="480" spans="2:25" ht="14.2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P480" s="15"/>
      <c r="Q480" s="15"/>
      <c r="T480" s="15"/>
      <c r="U480" s="15"/>
      <c r="V480" s="15"/>
      <c r="W480" s="15"/>
      <c r="X480" s="15"/>
      <c r="Y480" s="15"/>
    </row>
    <row r="481" spans="2:25" ht="14.2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P481" s="15"/>
      <c r="Q481" s="15"/>
      <c r="T481" s="15"/>
      <c r="U481" s="15"/>
      <c r="V481" s="15"/>
      <c r="W481" s="15"/>
      <c r="X481" s="15"/>
      <c r="Y481" s="15"/>
    </row>
    <row r="482" spans="2:25" ht="14.2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P482" s="15"/>
      <c r="Q482" s="15"/>
      <c r="T482" s="15"/>
      <c r="U482" s="15"/>
      <c r="V482" s="15"/>
      <c r="W482" s="15"/>
      <c r="X482" s="15"/>
      <c r="Y482" s="15"/>
    </row>
    <row r="483" spans="2:25" ht="14.2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P483" s="15"/>
      <c r="Q483" s="15"/>
      <c r="T483" s="15"/>
      <c r="U483" s="15"/>
      <c r="V483" s="15"/>
      <c r="W483" s="15"/>
      <c r="X483" s="15"/>
      <c r="Y483" s="15"/>
    </row>
    <row r="484" spans="2:25" ht="14.2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P484" s="15"/>
      <c r="Q484" s="15"/>
      <c r="T484" s="15"/>
      <c r="U484" s="15"/>
      <c r="V484" s="15"/>
      <c r="W484" s="15"/>
      <c r="X484" s="15"/>
      <c r="Y484" s="15"/>
    </row>
    <row r="485" spans="2:25" ht="14.2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P485" s="15"/>
      <c r="Q485" s="15"/>
      <c r="T485" s="15"/>
      <c r="U485" s="15"/>
      <c r="V485" s="15"/>
      <c r="W485" s="15"/>
      <c r="X485" s="15"/>
      <c r="Y485" s="15"/>
    </row>
    <row r="486" spans="2:25" ht="14.2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P486" s="15"/>
      <c r="Q486" s="15"/>
      <c r="T486" s="15"/>
      <c r="U486" s="15"/>
      <c r="V486" s="15"/>
      <c r="W486" s="15"/>
      <c r="X486" s="15"/>
      <c r="Y486" s="15"/>
    </row>
    <row r="487" spans="2:25" ht="14.2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P487" s="15"/>
      <c r="Q487" s="15"/>
      <c r="T487" s="15"/>
      <c r="U487" s="15"/>
      <c r="V487" s="15"/>
      <c r="W487" s="15"/>
      <c r="X487" s="15"/>
      <c r="Y487" s="15"/>
    </row>
    <row r="488" spans="2:25" ht="14.2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P488" s="15"/>
      <c r="Q488" s="15"/>
      <c r="T488" s="15"/>
      <c r="U488" s="15"/>
      <c r="V488" s="15"/>
      <c r="W488" s="15"/>
      <c r="X488" s="15"/>
      <c r="Y488" s="15"/>
    </row>
    <row r="489" spans="2:25" ht="14.2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P489" s="15"/>
      <c r="Q489" s="15"/>
      <c r="T489" s="15"/>
      <c r="U489" s="15"/>
      <c r="V489" s="15"/>
      <c r="W489" s="15"/>
      <c r="X489" s="15"/>
      <c r="Y489" s="15"/>
    </row>
    <row r="490" spans="2:25" ht="14.2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P490" s="15"/>
      <c r="Q490" s="15"/>
      <c r="T490" s="15"/>
      <c r="U490" s="15"/>
      <c r="V490" s="15"/>
      <c r="W490" s="15"/>
      <c r="X490" s="15"/>
      <c r="Y490" s="15"/>
    </row>
    <row r="491" spans="2:25" ht="14.2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P491" s="15"/>
      <c r="Q491" s="15"/>
      <c r="T491" s="15"/>
      <c r="U491" s="15"/>
      <c r="V491" s="15"/>
      <c r="W491" s="15"/>
      <c r="X491" s="15"/>
      <c r="Y491" s="15"/>
    </row>
    <row r="492" spans="2:25" ht="14.2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P492" s="15"/>
      <c r="Q492" s="15"/>
      <c r="T492" s="15"/>
      <c r="U492" s="15"/>
      <c r="V492" s="15"/>
      <c r="W492" s="15"/>
      <c r="X492" s="15"/>
      <c r="Y492" s="15"/>
    </row>
    <row r="493" spans="2:25" ht="14.2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P493" s="15"/>
      <c r="Q493" s="15"/>
      <c r="T493" s="15"/>
      <c r="U493" s="15"/>
      <c r="V493" s="15"/>
      <c r="W493" s="15"/>
      <c r="X493" s="15"/>
      <c r="Y493" s="15"/>
    </row>
    <row r="494" spans="2:25" ht="14.2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P494" s="15"/>
      <c r="Q494" s="15"/>
      <c r="T494" s="15"/>
      <c r="U494" s="15"/>
      <c r="V494" s="15"/>
      <c r="W494" s="15"/>
      <c r="X494" s="15"/>
      <c r="Y494" s="15"/>
    </row>
    <row r="495" spans="2:25" ht="14.2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P495" s="15"/>
      <c r="Q495" s="15"/>
      <c r="T495" s="15"/>
      <c r="U495" s="15"/>
      <c r="V495" s="15"/>
      <c r="W495" s="15"/>
      <c r="X495" s="15"/>
      <c r="Y495" s="15"/>
    </row>
    <row r="496" spans="2:25" ht="14.2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P496" s="15"/>
      <c r="Q496" s="15"/>
      <c r="T496" s="15"/>
      <c r="U496" s="15"/>
      <c r="V496" s="15"/>
      <c r="W496" s="15"/>
      <c r="X496" s="15"/>
      <c r="Y496" s="15"/>
    </row>
    <row r="497" spans="2:25" ht="14.2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P497" s="15"/>
      <c r="Q497" s="15"/>
      <c r="T497" s="15"/>
      <c r="U497" s="15"/>
      <c r="V497" s="15"/>
      <c r="W497" s="15"/>
      <c r="X497" s="15"/>
      <c r="Y497" s="15"/>
    </row>
    <row r="498" spans="2:25" ht="14.2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P498" s="15"/>
      <c r="Q498" s="15"/>
      <c r="T498" s="15"/>
      <c r="U498" s="15"/>
      <c r="V498" s="15"/>
      <c r="W498" s="15"/>
      <c r="X498" s="15"/>
      <c r="Y498" s="15"/>
    </row>
    <row r="499" spans="2:25" ht="14.2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P499" s="15"/>
      <c r="Q499" s="15"/>
      <c r="T499" s="15"/>
      <c r="U499" s="15"/>
      <c r="V499" s="15"/>
      <c r="W499" s="15"/>
      <c r="X499" s="15"/>
      <c r="Y499" s="15"/>
    </row>
    <row r="500" spans="2:25" ht="14.2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P500" s="15"/>
      <c r="Q500" s="15"/>
      <c r="T500" s="15"/>
      <c r="U500" s="15"/>
      <c r="V500" s="15"/>
      <c r="W500" s="15"/>
      <c r="X500" s="15"/>
      <c r="Y500" s="15"/>
    </row>
    <row r="501" spans="2:25" ht="14.2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P501" s="15"/>
      <c r="Q501" s="15"/>
      <c r="T501" s="15"/>
      <c r="U501" s="15"/>
      <c r="V501" s="15"/>
      <c r="W501" s="15"/>
      <c r="X501" s="15"/>
      <c r="Y501" s="15"/>
    </row>
    <row r="502" spans="2:25" ht="14.2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P502" s="15"/>
      <c r="Q502" s="15"/>
      <c r="T502" s="15"/>
      <c r="U502" s="15"/>
      <c r="V502" s="15"/>
      <c r="W502" s="15"/>
      <c r="X502" s="15"/>
      <c r="Y502" s="15"/>
    </row>
    <row r="503" spans="2:25" ht="14.2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P503" s="15"/>
      <c r="Q503" s="15"/>
      <c r="T503" s="15"/>
      <c r="U503" s="15"/>
      <c r="V503" s="15"/>
      <c r="W503" s="15"/>
      <c r="X503" s="15"/>
      <c r="Y503" s="15"/>
    </row>
    <row r="504" spans="2:25" ht="14.2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P504" s="15"/>
      <c r="Q504" s="15"/>
      <c r="T504" s="15"/>
      <c r="U504" s="15"/>
      <c r="V504" s="15"/>
      <c r="W504" s="15"/>
      <c r="X504" s="15"/>
      <c r="Y504" s="15"/>
    </row>
    <row r="505" spans="2:25" ht="14.2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P505" s="15"/>
      <c r="Q505" s="15"/>
      <c r="T505" s="15"/>
      <c r="U505" s="15"/>
      <c r="V505" s="15"/>
      <c r="W505" s="15"/>
      <c r="X505" s="15"/>
      <c r="Y505" s="15"/>
    </row>
    <row r="506" spans="2:25" ht="14.2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P506" s="15"/>
      <c r="Q506" s="15"/>
      <c r="T506" s="15"/>
      <c r="U506" s="15"/>
      <c r="V506" s="15"/>
      <c r="W506" s="15"/>
      <c r="X506" s="15"/>
      <c r="Y506" s="15"/>
    </row>
    <row r="507" spans="2:25" ht="14.2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P507" s="15"/>
      <c r="Q507" s="15"/>
      <c r="T507" s="15"/>
      <c r="U507" s="15"/>
      <c r="V507" s="15"/>
      <c r="W507" s="15"/>
      <c r="X507" s="15"/>
      <c r="Y507" s="15"/>
    </row>
    <row r="508" spans="2:25" ht="14.2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P508" s="15"/>
      <c r="Q508" s="15"/>
      <c r="T508" s="15"/>
      <c r="U508" s="15"/>
      <c r="V508" s="15"/>
      <c r="W508" s="15"/>
      <c r="X508" s="15"/>
      <c r="Y508" s="15"/>
    </row>
    <row r="509" spans="2:25" ht="14.2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P509" s="15"/>
      <c r="Q509" s="15"/>
      <c r="T509" s="15"/>
      <c r="U509" s="15"/>
      <c r="V509" s="15"/>
      <c r="W509" s="15"/>
      <c r="X509" s="15"/>
      <c r="Y509" s="15"/>
    </row>
    <row r="510" spans="2:25" ht="14.2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P510" s="15"/>
      <c r="Q510" s="15"/>
      <c r="T510" s="15"/>
      <c r="U510" s="15"/>
      <c r="V510" s="15"/>
      <c r="W510" s="15"/>
      <c r="X510" s="15"/>
      <c r="Y510" s="15"/>
    </row>
    <row r="511" spans="2:25" ht="14.2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P511" s="15"/>
      <c r="Q511" s="15"/>
      <c r="T511" s="15"/>
      <c r="U511" s="15"/>
      <c r="V511" s="15"/>
      <c r="W511" s="15"/>
      <c r="X511" s="15"/>
      <c r="Y511" s="15"/>
    </row>
    <row r="512" spans="2:25" ht="14.2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P512" s="15"/>
      <c r="Q512" s="15"/>
      <c r="T512" s="15"/>
      <c r="U512" s="15"/>
      <c r="V512" s="15"/>
      <c r="W512" s="15"/>
      <c r="X512" s="15"/>
      <c r="Y512" s="15"/>
    </row>
    <row r="513" spans="2:25" ht="14.2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P513" s="15"/>
      <c r="Q513" s="15"/>
      <c r="T513" s="15"/>
      <c r="U513" s="15"/>
      <c r="V513" s="15"/>
      <c r="W513" s="15"/>
      <c r="X513" s="15"/>
      <c r="Y513" s="15"/>
    </row>
    <row r="514" spans="2:25" ht="14.2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P514" s="15"/>
      <c r="Q514" s="15"/>
      <c r="T514" s="15"/>
      <c r="U514" s="15"/>
      <c r="V514" s="15"/>
      <c r="W514" s="15"/>
      <c r="X514" s="15"/>
      <c r="Y514" s="15"/>
    </row>
    <row r="515" spans="2:25" ht="14.2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P515" s="15"/>
      <c r="Q515" s="15"/>
      <c r="T515" s="15"/>
      <c r="U515" s="15"/>
      <c r="V515" s="15"/>
      <c r="W515" s="15"/>
      <c r="X515" s="15"/>
      <c r="Y515" s="15"/>
    </row>
    <row r="516" spans="2:25" ht="14.2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P516" s="15"/>
      <c r="Q516" s="15"/>
      <c r="T516" s="15"/>
      <c r="U516" s="15"/>
      <c r="V516" s="15"/>
      <c r="W516" s="15"/>
      <c r="X516" s="15"/>
      <c r="Y516" s="15"/>
    </row>
    <row r="517" spans="2:25" ht="14.2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P517" s="15"/>
      <c r="Q517" s="15"/>
      <c r="T517" s="15"/>
      <c r="U517" s="15"/>
      <c r="V517" s="15"/>
      <c r="W517" s="15"/>
      <c r="X517" s="15"/>
      <c r="Y517" s="15"/>
    </row>
    <row r="518" spans="2:25" ht="14.2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P518" s="15"/>
      <c r="Q518" s="15"/>
      <c r="T518" s="15"/>
      <c r="U518" s="15"/>
      <c r="V518" s="15"/>
      <c r="W518" s="15"/>
      <c r="X518" s="15"/>
      <c r="Y518" s="15"/>
    </row>
    <row r="519" spans="2:25" ht="14.2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P519" s="15"/>
      <c r="Q519" s="15"/>
      <c r="T519" s="15"/>
      <c r="U519" s="15"/>
      <c r="V519" s="15"/>
      <c r="W519" s="15"/>
      <c r="X519" s="15"/>
      <c r="Y519" s="15"/>
    </row>
    <row r="520" spans="2:25" ht="14.2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P520" s="15"/>
      <c r="Q520" s="15"/>
      <c r="T520" s="15"/>
      <c r="U520" s="15"/>
      <c r="V520" s="15"/>
      <c r="W520" s="15"/>
      <c r="X520" s="15"/>
      <c r="Y520" s="15"/>
    </row>
    <row r="521" spans="2:25" ht="14.2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P521" s="15"/>
      <c r="Q521" s="15"/>
      <c r="T521" s="15"/>
      <c r="U521" s="15"/>
      <c r="V521" s="15"/>
      <c r="W521" s="15"/>
      <c r="X521" s="15"/>
      <c r="Y521" s="15"/>
    </row>
    <row r="522" spans="2:25" ht="14.2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P522" s="15"/>
      <c r="Q522" s="15"/>
      <c r="T522" s="15"/>
      <c r="U522" s="15"/>
      <c r="V522" s="15"/>
      <c r="W522" s="15"/>
      <c r="X522" s="15"/>
      <c r="Y522" s="15"/>
    </row>
    <row r="523" spans="2:25" ht="14.2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P523" s="15"/>
      <c r="Q523" s="15"/>
      <c r="T523" s="15"/>
      <c r="U523" s="15"/>
      <c r="V523" s="15"/>
      <c r="W523" s="15"/>
      <c r="X523" s="15"/>
      <c r="Y523" s="15"/>
    </row>
    <row r="524" spans="2:25" ht="14.2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P524" s="15"/>
      <c r="Q524" s="15"/>
      <c r="T524" s="15"/>
      <c r="U524" s="15"/>
      <c r="V524" s="15"/>
      <c r="W524" s="15"/>
      <c r="X524" s="15"/>
      <c r="Y524" s="15"/>
    </row>
    <row r="525" spans="2:25" ht="14.2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P525" s="15"/>
      <c r="Q525" s="15"/>
      <c r="T525" s="15"/>
      <c r="U525" s="15"/>
      <c r="V525" s="15"/>
      <c r="W525" s="15"/>
      <c r="X525" s="15"/>
      <c r="Y525" s="15"/>
    </row>
    <row r="526" spans="2:25" ht="14.2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P526" s="15"/>
      <c r="Q526" s="15"/>
      <c r="T526" s="15"/>
      <c r="U526" s="15"/>
      <c r="V526" s="15"/>
      <c r="W526" s="15"/>
      <c r="X526" s="15"/>
      <c r="Y526" s="15"/>
    </row>
    <row r="527" spans="2:25" ht="14.2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P527" s="15"/>
      <c r="Q527" s="15"/>
      <c r="T527" s="15"/>
      <c r="U527" s="15"/>
      <c r="V527" s="15"/>
      <c r="W527" s="15"/>
      <c r="X527" s="15"/>
      <c r="Y527" s="15"/>
    </row>
    <row r="528" spans="2:25" ht="14.2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P528" s="15"/>
      <c r="Q528" s="15"/>
      <c r="T528" s="15"/>
      <c r="U528" s="15"/>
      <c r="V528" s="15"/>
      <c r="W528" s="15"/>
      <c r="X528" s="15"/>
      <c r="Y528" s="15"/>
    </row>
    <row r="529" spans="2:25" ht="14.2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P529" s="15"/>
      <c r="Q529" s="15"/>
      <c r="T529" s="15"/>
      <c r="U529" s="15"/>
      <c r="V529" s="15"/>
      <c r="W529" s="15"/>
      <c r="X529" s="15"/>
      <c r="Y529" s="15"/>
    </row>
    <row r="530" spans="2:25" ht="14.2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P530" s="15"/>
      <c r="Q530" s="15"/>
      <c r="T530" s="15"/>
      <c r="U530" s="15"/>
      <c r="V530" s="15"/>
      <c r="W530" s="15"/>
      <c r="X530" s="15"/>
      <c r="Y530" s="15"/>
    </row>
    <row r="531" spans="2:25" ht="14.2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P531" s="15"/>
      <c r="Q531" s="15"/>
      <c r="T531" s="15"/>
      <c r="U531" s="15"/>
      <c r="V531" s="15"/>
      <c r="W531" s="15"/>
      <c r="X531" s="15"/>
      <c r="Y531" s="15"/>
    </row>
    <row r="532" spans="2:25" ht="14.2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P532" s="15"/>
      <c r="Q532" s="15"/>
      <c r="T532" s="15"/>
      <c r="U532" s="15"/>
      <c r="V532" s="15"/>
      <c r="W532" s="15"/>
      <c r="X532" s="15"/>
      <c r="Y532" s="15"/>
    </row>
    <row r="533" spans="2:25" ht="14.2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P533" s="15"/>
      <c r="Q533" s="15"/>
      <c r="T533" s="15"/>
      <c r="U533" s="15"/>
      <c r="V533" s="15"/>
      <c r="W533" s="15"/>
      <c r="X533" s="15"/>
      <c r="Y533" s="15"/>
    </row>
    <row r="534" spans="2:25" ht="14.2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P534" s="15"/>
      <c r="Q534" s="15"/>
      <c r="T534" s="15"/>
      <c r="U534" s="15"/>
      <c r="V534" s="15"/>
      <c r="W534" s="15"/>
      <c r="X534" s="15"/>
      <c r="Y534" s="15"/>
    </row>
    <row r="535" spans="2:25" ht="14.2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P535" s="15"/>
      <c r="Q535" s="15"/>
      <c r="T535" s="15"/>
      <c r="U535" s="15"/>
      <c r="V535" s="15"/>
      <c r="W535" s="15"/>
      <c r="X535" s="15"/>
      <c r="Y535" s="15"/>
    </row>
    <row r="536" spans="2:25" ht="14.2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P536" s="15"/>
      <c r="Q536" s="15"/>
      <c r="T536" s="15"/>
      <c r="U536" s="15"/>
      <c r="V536" s="15"/>
      <c r="W536" s="15"/>
      <c r="X536" s="15"/>
      <c r="Y536" s="15"/>
    </row>
    <row r="537" spans="2:25" ht="14.2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P537" s="15"/>
      <c r="Q537" s="15"/>
      <c r="T537" s="15"/>
      <c r="U537" s="15"/>
      <c r="V537" s="15"/>
      <c r="W537" s="15"/>
      <c r="X537" s="15"/>
      <c r="Y537" s="15"/>
    </row>
    <row r="538" spans="2:25" ht="14.2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P538" s="15"/>
      <c r="Q538" s="15"/>
      <c r="T538" s="15"/>
      <c r="U538" s="15"/>
      <c r="V538" s="15"/>
      <c r="W538" s="15"/>
      <c r="X538" s="15"/>
      <c r="Y538" s="15"/>
    </row>
    <row r="539" spans="2:25" ht="14.2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P539" s="15"/>
      <c r="Q539" s="15"/>
      <c r="T539" s="15"/>
      <c r="U539" s="15"/>
      <c r="V539" s="15"/>
      <c r="W539" s="15"/>
      <c r="X539" s="15"/>
      <c r="Y539" s="15"/>
    </row>
    <row r="540" spans="2:25" ht="14.2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P540" s="15"/>
      <c r="Q540" s="15"/>
      <c r="T540" s="15"/>
      <c r="U540" s="15"/>
      <c r="V540" s="15"/>
      <c r="W540" s="15"/>
      <c r="X540" s="15"/>
      <c r="Y540" s="15"/>
    </row>
    <row r="541" spans="2:25" ht="14.2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P541" s="15"/>
      <c r="Q541" s="15"/>
      <c r="T541" s="15"/>
      <c r="U541" s="15"/>
      <c r="V541" s="15"/>
      <c r="W541" s="15"/>
      <c r="X541" s="15"/>
      <c r="Y541" s="15"/>
    </row>
    <row r="542" spans="2:25" ht="14.2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P542" s="15"/>
      <c r="Q542" s="15"/>
      <c r="T542" s="15"/>
      <c r="U542" s="15"/>
      <c r="V542" s="15"/>
      <c r="W542" s="15"/>
      <c r="X542" s="15"/>
      <c r="Y542" s="15"/>
    </row>
    <row r="543" spans="2:25" ht="14.2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P543" s="15"/>
      <c r="Q543" s="15"/>
      <c r="T543" s="15"/>
      <c r="U543" s="15"/>
      <c r="V543" s="15"/>
      <c r="W543" s="15"/>
      <c r="X543" s="15"/>
      <c r="Y543" s="15"/>
    </row>
    <row r="544" spans="2:25" ht="14.2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P544" s="15"/>
      <c r="Q544" s="15"/>
      <c r="T544" s="15"/>
      <c r="U544" s="15"/>
      <c r="V544" s="15"/>
      <c r="W544" s="15"/>
      <c r="X544" s="15"/>
      <c r="Y544" s="15"/>
    </row>
    <row r="545" spans="2:25" ht="14.2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P545" s="15"/>
      <c r="Q545" s="15"/>
      <c r="T545" s="15"/>
      <c r="U545" s="15"/>
      <c r="V545" s="15"/>
      <c r="W545" s="15"/>
      <c r="X545" s="15"/>
      <c r="Y545" s="15"/>
    </row>
    <row r="546" spans="2:25" ht="14.2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P546" s="15"/>
      <c r="Q546" s="15"/>
      <c r="T546" s="15"/>
      <c r="U546" s="15"/>
      <c r="V546" s="15"/>
      <c r="W546" s="15"/>
      <c r="X546" s="15"/>
      <c r="Y546" s="15"/>
    </row>
    <row r="547" spans="2:25" ht="14.2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P547" s="15"/>
      <c r="Q547" s="15"/>
      <c r="T547" s="15"/>
      <c r="U547" s="15"/>
      <c r="V547" s="15"/>
      <c r="W547" s="15"/>
      <c r="X547" s="15"/>
      <c r="Y547" s="15"/>
    </row>
    <row r="548" spans="2:25" ht="14.2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P548" s="15"/>
      <c r="Q548" s="15"/>
      <c r="T548" s="15"/>
      <c r="U548" s="15"/>
      <c r="V548" s="15"/>
      <c r="W548" s="15"/>
      <c r="X548" s="15"/>
      <c r="Y548" s="15"/>
    </row>
    <row r="549" spans="2:25" ht="14.2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P549" s="15"/>
      <c r="Q549" s="15"/>
      <c r="T549" s="15"/>
      <c r="U549" s="15"/>
      <c r="V549" s="15"/>
      <c r="W549" s="15"/>
      <c r="X549" s="15"/>
      <c r="Y549" s="15"/>
    </row>
    <row r="550" spans="2:25" ht="14.2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P550" s="15"/>
      <c r="Q550" s="15"/>
      <c r="T550" s="15"/>
      <c r="U550" s="15"/>
      <c r="V550" s="15"/>
      <c r="W550" s="15"/>
      <c r="X550" s="15"/>
      <c r="Y550" s="15"/>
    </row>
    <row r="551" spans="2:25" ht="14.2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P551" s="15"/>
      <c r="Q551" s="15"/>
      <c r="T551" s="15"/>
      <c r="U551" s="15"/>
      <c r="V551" s="15"/>
      <c r="W551" s="15"/>
      <c r="X551" s="15"/>
      <c r="Y551" s="15"/>
    </row>
    <row r="552" spans="2:25" ht="14.2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P552" s="15"/>
      <c r="Q552" s="15"/>
      <c r="T552" s="15"/>
      <c r="U552" s="15"/>
      <c r="V552" s="15"/>
      <c r="W552" s="15"/>
      <c r="X552" s="15"/>
      <c r="Y552" s="15"/>
    </row>
    <row r="553" spans="2:25" ht="14.2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P553" s="15"/>
      <c r="Q553" s="15"/>
      <c r="T553" s="15"/>
      <c r="U553" s="15"/>
      <c r="V553" s="15"/>
      <c r="W553" s="15"/>
      <c r="X553" s="15"/>
      <c r="Y553" s="15"/>
    </row>
    <row r="554" spans="2:25" ht="14.2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P554" s="15"/>
      <c r="Q554" s="15"/>
      <c r="T554" s="15"/>
      <c r="U554" s="15"/>
      <c r="V554" s="15"/>
      <c r="W554" s="15"/>
      <c r="X554" s="15"/>
      <c r="Y554" s="15"/>
    </row>
    <row r="555" spans="2:25" ht="14.2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P555" s="15"/>
      <c r="Q555" s="15"/>
      <c r="T555" s="15"/>
      <c r="U555" s="15"/>
      <c r="V555" s="15"/>
      <c r="W555" s="15"/>
      <c r="X555" s="15"/>
      <c r="Y555" s="15"/>
    </row>
    <row r="556" spans="2:25" ht="14.2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P556" s="15"/>
      <c r="Q556" s="15"/>
      <c r="T556" s="15"/>
      <c r="U556" s="15"/>
      <c r="V556" s="15"/>
      <c r="W556" s="15"/>
      <c r="X556" s="15"/>
      <c r="Y556" s="15"/>
    </row>
    <row r="557" spans="2:25" ht="14.2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P557" s="15"/>
      <c r="Q557" s="15"/>
      <c r="T557" s="15"/>
      <c r="U557" s="15"/>
      <c r="V557" s="15"/>
      <c r="W557" s="15"/>
      <c r="X557" s="15"/>
      <c r="Y557" s="15"/>
    </row>
    <row r="558" spans="2:25" ht="14.2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P558" s="15"/>
      <c r="Q558" s="15"/>
      <c r="T558" s="15"/>
      <c r="U558" s="15"/>
      <c r="V558" s="15"/>
      <c r="W558" s="15"/>
      <c r="X558" s="15"/>
      <c r="Y558" s="15"/>
    </row>
    <row r="559" spans="2:25" ht="14.2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P559" s="15"/>
      <c r="Q559" s="15"/>
      <c r="T559" s="15"/>
      <c r="U559" s="15"/>
      <c r="V559" s="15"/>
      <c r="W559" s="15"/>
      <c r="X559" s="15"/>
      <c r="Y559" s="15"/>
    </row>
    <row r="560" spans="2:25" ht="14.2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P560" s="15"/>
      <c r="Q560" s="15"/>
      <c r="T560" s="15"/>
      <c r="U560" s="15"/>
      <c r="V560" s="15"/>
      <c r="W560" s="15"/>
      <c r="X560" s="15"/>
      <c r="Y560" s="15"/>
    </row>
    <row r="561" spans="2:25" ht="14.2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P561" s="15"/>
      <c r="Q561" s="15"/>
      <c r="T561" s="15"/>
      <c r="U561" s="15"/>
      <c r="V561" s="15"/>
      <c r="W561" s="15"/>
      <c r="X561" s="15"/>
      <c r="Y561" s="15"/>
    </row>
    <row r="562" spans="2:25" ht="14.2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P562" s="15"/>
      <c r="Q562" s="15"/>
      <c r="T562" s="15"/>
      <c r="U562" s="15"/>
      <c r="V562" s="15"/>
      <c r="W562" s="15"/>
      <c r="X562" s="15"/>
      <c r="Y562" s="15"/>
    </row>
    <row r="563" spans="2:25" ht="14.2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P563" s="15"/>
      <c r="Q563" s="15"/>
      <c r="T563" s="15"/>
      <c r="U563" s="15"/>
      <c r="V563" s="15"/>
      <c r="W563" s="15"/>
      <c r="X563" s="15"/>
      <c r="Y563" s="15"/>
    </row>
    <row r="564" spans="2:25" ht="14.2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P564" s="15"/>
      <c r="Q564" s="15"/>
      <c r="T564" s="15"/>
      <c r="U564" s="15"/>
      <c r="V564" s="15"/>
      <c r="W564" s="15"/>
      <c r="X564" s="15"/>
      <c r="Y564" s="15"/>
    </row>
    <row r="565" spans="2:25" ht="14.2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P565" s="15"/>
      <c r="Q565" s="15"/>
      <c r="T565" s="15"/>
      <c r="U565" s="15"/>
      <c r="V565" s="15"/>
      <c r="W565" s="15"/>
      <c r="X565" s="15"/>
      <c r="Y565" s="15"/>
    </row>
    <row r="566" spans="2:25" ht="14.2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P566" s="15"/>
      <c r="Q566" s="15"/>
      <c r="T566" s="15"/>
      <c r="U566" s="15"/>
      <c r="V566" s="15"/>
      <c r="W566" s="15"/>
      <c r="X566" s="15"/>
      <c r="Y566" s="15"/>
    </row>
    <row r="567" spans="2:25" ht="14.2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P567" s="15"/>
      <c r="Q567" s="15"/>
      <c r="T567" s="15"/>
      <c r="U567" s="15"/>
      <c r="V567" s="15"/>
      <c r="W567" s="15"/>
      <c r="X567" s="15"/>
      <c r="Y567" s="15"/>
    </row>
    <row r="568" spans="2:25" ht="14.2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P568" s="15"/>
      <c r="Q568" s="15"/>
      <c r="T568" s="15"/>
      <c r="U568" s="15"/>
      <c r="V568" s="15"/>
      <c r="W568" s="15"/>
      <c r="X568" s="15"/>
      <c r="Y568" s="15"/>
    </row>
    <row r="569" spans="2:25" ht="14.2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P569" s="15"/>
      <c r="Q569" s="15"/>
      <c r="T569" s="15"/>
      <c r="U569" s="15"/>
      <c r="V569" s="15"/>
      <c r="W569" s="15"/>
      <c r="X569" s="15"/>
      <c r="Y569" s="15"/>
    </row>
    <row r="570" spans="2:25" ht="14.2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P570" s="15"/>
      <c r="Q570" s="15"/>
      <c r="T570" s="15"/>
      <c r="U570" s="15"/>
      <c r="V570" s="15"/>
      <c r="W570" s="15"/>
      <c r="X570" s="15"/>
      <c r="Y570" s="15"/>
    </row>
    <row r="571" spans="2:25" ht="14.2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P571" s="15"/>
      <c r="Q571" s="15"/>
      <c r="T571" s="15"/>
      <c r="U571" s="15"/>
      <c r="V571" s="15"/>
      <c r="W571" s="15"/>
      <c r="X571" s="15"/>
      <c r="Y571" s="15"/>
    </row>
    <row r="572" spans="2:25" ht="14.2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P572" s="15"/>
      <c r="Q572" s="15"/>
      <c r="T572" s="15"/>
      <c r="U572" s="15"/>
      <c r="V572" s="15"/>
      <c r="W572" s="15"/>
      <c r="X572" s="15"/>
      <c r="Y572" s="15"/>
    </row>
    <row r="573" spans="2:25" ht="14.2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P573" s="15"/>
      <c r="Q573" s="15"/>
      <c r="T573" s="15"/>
      <c r="U573" s="15"/>
      <c r="V573" s="15"/>
      <c r="W573" s="15"/>
      <c r="X573" s="15"/>
      <c r="Y573" s="15"/>
    </row>
    <row r="574" spans="2:25" ht="14.2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P574" s="15"/>
      <c r="Q574" s="15"/>
      <c r="T574" s="15"/>
      <c r="U574" s="15"/>
      <c r="V574" s="15"/>
      <c r="W574" s="15"/>
      <c r="X574" s="15"/>
      <c r="Y574" s="15"/>
    </row>
    <row r="575" spans="2:25" ht="14.2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P575" s="15"/>
      <c r="Q575" s="15"/>
      <c r="T575" s="15"/>
      <c r="U575" s="15"/>
      <c r="V575" s="15"/>
      <c r="W575" s="15"/>
      <c r="X575" s="15"/>
      <c r="Y575" s="15"/>
    </row>
    <row r="576" spans="2:25" ht="14.2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P576" s="15"/>
      <c r="Q576" s="15"/>
      <c r="T576" s="15"/>
      <c r="U576" s="15"/>
      <c r="V576" s="15"/>
      <c r="W576" s="15"/>
      <c r="X576" s="15"/>
      <c r="Y576" s="15"/>
    </row>
    <row r="577" spans="2:25" ht="14.2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P577" s="15"/>
      <c r="Q577" s="15"/>
      <c r="T577" s="15"/>
      <c r="U577" s="15"/>
      <c r="V577" s="15"/>
      <c r="W577" s="15"/>
      <c r="X577" s="15"/>
      <c r="Y577" s="15"/>
    </row>
    <row r="578" spans="2:25" ht="14.2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P578" s="15"/>
      <c r="Q578" s="15"/>
      <c r="T578" s="15"/>
      <c r="U578" s="15"/>
      <c r="V578" s="15"/>
      <c r="W578" s="15"/>
      <c r="X578" s="15"/>
      <c r="Y578" s="15"/>
    </row>
    <row r="579" spans="2:25" ht="14.2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P579" s="15"/>
      <c r="Q579" s="15"/>
      <c r="T579" s="15"/>
      <c r="U579" s="15"/>
      <c r="V579" s="15"/>
      <c r="W579" s="15"/>
      <c r="X579" s="15"/>
      <c r="Y579" s="15"/>
    </row>
    <row r="580" spans="2:25" ht="14.2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P580" s="15"/>
      <c r="Q580" s="15"/>
      <c r="T580" s="15"/>
      <c r="U580" s="15"/>
      <c r="V580" s="15"/>
      <c r="W580" s="15"/>
      <c r="X580" s="15"/>
      <c r="Y580" s="15"/>
    </row>
    <row r="581" spans="2:25" ht="14.2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P581" s="15"/>
      <c r="Q581" s="15"/>
      <c r="T581" s="15"/>
      <c r="U581" s="15"/>
      <c r="V581" s="15"/>
      <c r="W581" s="15"/>
      <c r="X581" s="15"/>
      <c r="Y581" s="15"/>
    </row>
    <row r="582" spans="2:25" ht="14.2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P582" s="15"/>
      <c r="Q582" s="15"/>
      <c r="T582" s="15"/>
      <c r="U582" s="15"/>
      <c r="V582" s="15"/>
      <c r="W582" s="15"/>
      <c r="X582" s="15"/>
      <c r="Y582" s="15"/>
    </row>
    <row r="583" spans="2:25" ht="14.2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P583" s="15"/>
      <c r="Q583" s="15"/>
      <c r="T583" s="15"/>
      <c r="U583" s="15"/>
      <c r="V583" s="15"/>
      <c r="W583" s="15"/>
      <c r="X583" s="15"/>
      <c r="Y583" s="15"/>
    </row>
    <row r="584" spans="2:25" ht="14.2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P584" s="15"/>
      <c r="Q584" s="15"/>
      <c r="T584" s="15"/>
      <c r="U584" s="15"/>
      <c r="V584" s="15"/>
      <c r="W584" s="15"/>
      <c r="X584" s="15"/>
      <c r="Y584" s="15"/>
    </row>
    <row r="585" spans="2:25" ht="14.2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P585" s="15"/>
      <c r="Q585" s="15"/>
      <c r="T585" s="15"/>
      <c r="U585" s="15"/>
      <c r="V585" s="15"/>
      <c r="W585" s="15"/>
      <c r="X585" s="15"/>
      <c r="Y585" s="15"/>
    </row>
    <row r="586" spans="2:25" ht="14.2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P586" s="15"/>
      <c r="Q586" s="15"/>
      <c r="T586" s="15"/>
      <c r="U586" s="15"/>
      <c r="V586" s="15"/>
      <c r="W586" s="15"/>
      <c r="X586" s="15"/>
      <c r="Y586" s="15"/>
    </row>
    <row r="587" spans="2:25" ht="14.2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P587" s="15"/>
      <c r="Q587" s="15"/>
      <c r="T587" s="15"/>
      <c r="U587" s="15"/>
      <c r="V587" s="15"/>
      <c r="W587" s="15"/>
      <c r="X587" s="15"/>
      <c r="Y587" s="15"/>
    </row>
    <row r="588" spans="2:25" ht="14.2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P588" s="15"/>
      <c r="Q588" s="15"/>
      <c r="T588" s="15"/>
      <c r="U588" s="15"/>
      <c r="V588" s="15"/>
      <c r="W588" s="15"/>
      <c r="X588" s="15"/>
      <c r="Y588" s="15"/>
    </row>
    <row r="589" spans="2:25" ht="14.2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P589" s="15"/>
      <c r="Q589" s="15"/>
      <c r="T589" s="15"/>
      <c r="U589" s="15"/>
      <c r="V589" s="15"/>
      <c r="W589" s="15"/>
      <c r="X589" s="15"/>
      <c r="Y589" s="15"/>
    </row>
    <row r="590" spans="2:25" ht="14.2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P590" s="15"/>
      <c r="Q590" s="15"/>
      <c r="T590" s="15"/>
      <c r="U590" s="15"/>
      <c r="V590" s="15"/>
      <c r="W590" s="15"/>
      <c r="X590" s="15"/>
      <c r="Y590" s="15"/>
    </row>
    <row r="591" spans="2:25" ht="14.2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P591" s="15"/>
      <c r="Q591" s="15"/>
      <c r="T591" s="15"/>
      <c r="U591" s="15"/>
      <c r="V591" s="15"/>
      <c r="W591" s="15"/>
      <c r="X591" s="15"/>
      <c r="Y591" s="15"/>
    </row>
    <row r="592" spans="2:25" ht="14.2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P592" s="15"/>
      <c r="Q592" s="15"/>
      <c r="T592" s="15"/>
      <c r="U592" s="15"/>
      <c r="V592" s="15"/>
      <c r="W592" s="15"/>
      <c r="X592" s="15"/>
      <c r="Y592" s="15"/>
    </row>
    <row r="593" spans="2:25" ht="14.2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P593" s="15"/>
      <c r="Q593" s="15"/>
      <c r="T593" s="15"/>
      <c r="U593" s="15"/>
      <c r="V593" s="15"/>
      <c r="W593" s="15"/>
      <c r="X593" s="15"/>
      <c r="Y593" s="15"/>
    </row>
    <row r="594" spans="2:25" ht="14.2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P594" s="15"/>
      <c r="Q594" s="15"/>
      <c r="T594" s="15"/>
      <c r="U594" s="15"/>
      <c r="V594" s="15"/>
      <c r="W594" s="15"/>
      <c r="X594" s="15"/>
      <c r="Y594" s="15"/>
    </row>
    <row r="595" spans="2:25" ht="14.2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P595" s="15"/>
      <c r="Q595" s="15"/>
      <c r="T595" s="15"/>
      <c r="U595" s="15"/>
      <c r="V595" s="15"/>
      <c r="W595" s="15"/>
      <c r="X595" s="15"/>
      <c r="Y595" s="15"/>
    </row>
    <row r="596" spans="2:25" ht="14.2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P596" s="15"/>
      <c r="Q596" s="15"/>
      <c r="T596" s="15"/>
      <c r="U596" s="15"/>
      <c r="V596" s="15"/>
      <c r="W596" s="15"/>
      <c r="X596" s="15"/>
      <c r="Y596" s="15"/>
    </row>
    <row r="597" spans="2:25" ht="14.2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P597" s="15"/>
      <c r="Q597" s="15"/>
      <c r="T597" s="15"/>
      <c r="U597" s="15"/>
      <c r="V597" s="15"/>
      <c r="W597" s="15"/>
      <c r="X597" s="15"/>
      <c r="Y597" s="15"/>
    </row>
    <row r="598" spans="2:25" ht="14.2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P598" s="15"/>
      <c r="Q598" s="15"/>
      <c r="T598" s="15"/>
      <c r="U598" s="15"/>
      <c r="V598" s="15"/>
      <c r="W598" s="15"/>
      <c r="X598" s="15"/>
      <c r="Y598" s="15"/>
    </row>
    <row r="599" spans="2:25" ht="14.2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P599" s="15"/>
      <c r="Q599" s="15"/>
      <c r="T599" s="15"/>
      <c r="U599" s="15"/>
      <c r="V599" s="15"/>
      <c r="W599" s="15"/>
      <c r="X599" s="15"/>
      <c r="Y599" s="15"/>
    </row>
    <row r="600" spans="2:25" ht="14.2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P600" s="15"/>
      <c r="Q600" s="15"/>
      <c r="T600" s="15"/>
      <c r="U600" s="15"/>
      <c r="V600" s="15"/>
      <c r="W600" s="15"/>
      <c r="X600" s="15"/>
      <c r="Y600" s="15"/>
    </row>
    <row r="601" spans="2:25" ht="14.2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P601" s="15"/>
      <c r="Q601" s="15"/>
      <c r="T601" s="15"/>
      <c r="U601" s="15"/>
      <c r="V601" s="15"/>
      <c r="W601" s="15"/>
      <c r="X601" s="15"/>
      <c r="Y601" s="15"/>
    </row>
    <row r="602" spans="2:25" ht="14.2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P602" s="15"/>
      <c r="Q602" s="15"/>
      <c r="T602" s="15"/>
      <c r="U602" s="15"/>
      <c r="V602" s="15"/>
      <c r="W602" s="15"/>
      <c r="X602" s="15"/>
      <c r="Y602" s="15"/>
    </row>
    <row r="603" spans="2:25" ht="14.2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P603" s="15"/>
      <c r="Q603" s="15"/>
      <c r="T603" s="15"/>
      <c r="U603" s="15"/>
      <c r="V603" s="15"/>
      <c r="W603" s="15"/>
      <c r="X603" s="15"/>
      <c r="Y603" s="15"/>
    </row>
    <row r="604" spans="2:25" ht="14.2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P604" s="15"/>
      <c r="Q604" s="15"/>
      <c r="T604" s="15"/>
      <c r="U604" s="15"/>
      <c r="V604" s="15"/>
      <c r="W604" s="15"/>
      <c r="X604" s="15"/>
      <c r="Y604" s="15"/>
    </row>
    <row r="605" spans="2:25" ht="14.2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P605" s="15"/>
      <c r="Q605" s="15"/>
      <c r="T605" s="15"/>
      <c r="U605" s="15"/>
      <c r="V605" s="15"/>
      <c r="W605" s="15"/>
      <c r="X605" s="15"/>
      <c r="Y605" s="15"/>
    </row>
    <row r="606" spans="2:25" ht="14.2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P606" s="15"/>
      <c r="Q606" s="15"/>
      <c r="T606" s="15"/>
      <c r="U606" s="15"/>
      <c r="V606" s="15"/>
      <c r="W606" s="15"/>
      <c r="X606" s="15"/>
      <c r="Y606" s="15"/>
    </row>
    <row r="607" spans="2:25" ht="14.2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P607" s="15"/>
      <c r="Q607" s="15"/>
      <c r="T607" s="15"/>
      <c r="U607" s="15"/>
      <c r="V607" s="15"/>
      <c r="W607" s="15"/>
      <c r="X607" s="15"/>
      <c r="Y607" s="15"/>
    </row>
    <row r="608" spans="2:25" ht="14.2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P608" s="15"/>
      <c r="Q608" s="15"/>
      <c r="T608" s="15"/>
      <c r="U608" s="15"/>
      <c r="V608" s="15"/>
      <c r="W608" s="15"/>
      <c r="X608" s="15"/>
      <c r="Y608" s="15"/>
    </row>
    <row r="609" spans="2:25" ht="14.2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P609" s="15"/>
      <c r="Q609" s="15"/>
      <c r="T609" s="15"/>
      <c r="U609" s="15"/>
      <c r="V609" s="15"/>
      <c r="W609" s="15"/>
      <c r="X609" s="15"/>
      <c r="Y609" s="15"/>
    </row>
    <row r="610" spans="2:25" ht="14.2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P610" s="15"/>
      <c r="Q610" s="15"/>
      <c r="T610" s="15"/>
      <c r="U610" s="15"/>
      <c r="V610" s="15"/>
      <c r="W610" s="15"/>
      <c r="X610" s="15"/>
      <c r="Y610" s="15"/>
    </row>
    <row r="611" spans="2:25" ht="14.2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P611" s="15"/>
      <c r="Q611" s="15"/>
      <c r="T611" s="15"/>
      <c r="U611" s="15"/>
      <c r="V611" s="15"/>
      <c r="W611" s="15"/>
      <c r="X611" s="15"/>
      <c r="Y611" s="15"/>
    </row>
    <row r="612" spans="2:25" ht="14.2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P612" s="15"/>
      <c r="Q612" s="15"/>
      <c r="T612" s="15"/>
      <c r="U612" s="15"/>
      <c r="V612" s="15"/>
      <c r="W612" s="15"/>
      <c r="X612" s="15"/>
      <c r="Y612" s="15"/>
    </row>
    <row r="613" spans="2:25" ht="14.2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P613" s="15"/>
      <c r="Q613" s="15"/>
      <c r="T613" s="15"/>
      <c r="U613" s="15"/>
      <c r="V613" s="15"/>
      <c r="W613" s="15"/>
      <c r="X613" s="15"/>
      <c r="Y613" s="15"/>
    </row>
    <row r="614" spans="2:25" ht="14.2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P614" s="15"/>
      <c r="Q614" s="15"/>
      <c r="T614" s="15"/>
      <c r="U614" s="15"/>
      <c r="V614" s="15"/>
      <c r="W614" s="15"/>
      <c r="X614" s="15"/>
      <c r="Y614" s="15"/>
    </row>
    <row r="615" spans="2:25" ht="14.2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P615" s="15"/>
      <c r="Q615" s="15"/>
      <c r="T615" s="15"/>
      <c r="U615" s="15"/>
      <c r="V615" s="15"/>
      <c r="W615" s="15"/>
      <c r="X615" s="15"/>
      <c r="Y615" s="15"/>
    </row>
    <row r="616" spans="2:25" ht="14.2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P616" s="15"/>
      <c r="Q616" s="15"/>
      <c r="T616" s="15"/>
      <c r="U616" s="15"/>
      <c r="V616" s="15"/>
      <c r="W616" s="15"/>
      <c r="X616" s="15"/>
      <c r="Y616" s="15"/>
    </row>
    <row r="617" spans="2:25" ht="14.2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P617" s="15"/>
      <c r="Q617" s="15"/>
      <c r="T617" s="15"/>
      <c r="U617" s="15"/>
      <c r="V617" s="15"/>
      <c r="W617" s="15"/>
      <c r="X617" s="15"/>
      <c r="Y617" s="15"/>
    </row>
    <row r="618" spans="2:25" ht="14.2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P618" s="15"/>
      <c r="Q618" s="15"/>
      <c r="T618" s="15"/>
      <c r="U618" s="15"/>
      <c r="V618" s="15"/>
      <c r="W618" s="15"/>
      <c r="X618" s="15"/>
      <c r="Y618" s="15"/>
    </row>
    <row r="619" spans="2:25" ht="14.2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P619" s="15"/>
      <c r="Q619" s="15"/>
      <c r="T619" s="15"/>
      <c r="U619" s="15"/>
      <c r="V619" s="15"/>
      <c r="W619" s="15"/>
      <c r="X619" s="15"/>
      <c r="Y619" s="15"/>
    </row>
    <row r="620" spans="2:25" ht="14.2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P620" s="15"/>
      <c r="Q620" s="15"/>
      <c r="T620" s="15"/>
      <c r="U620" s="15"/>
      <c r="V620" s="15"/>
      <c r="W620" s="15"/>
      <c r="X620" s="15"/>
      <c r="Y620" s="15"/>
    </row>
    <row r="621" spans="2:25" ht="14.2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P621" s="15"/>
      <c r="Q621" s="15"/>
      <c r="T621" s="15"/>
      <c r="U621" s="15"/>
      <c r="V621" s="15"/>
      <c r="W621" s="15"/>
      <c r="X621" s="15"/>
      <c r="Y621" s="15"/>
    </row>
    <row r="622" spans="2:25" ht="14.2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P622" s="15"/>
      <c r="Q622" s="15"/>
      <c r="T622" s="15"/>
      <c r="U622" s="15"/>
      <c r="V622" s="15"/>
      <c r="W622" s="15"/>
      <c r="X622" s="15"/>
      <c r="Y622" s="15"/>
    </row>
    <row r="623" spans="2:25" ht="14.2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P623" s="15"/>
      <c r="Q623" s="15"/>
      <c r="T623" s="15"/>
      <c r="U623" s="15"/>
      <c r="V623" s="15"/>
      <c r="W623" s="15"/>
      <c r="X623" s="15"/>
      <c r="Y623" s="15"/>
    </row>
    <row r="624" spans="2:25" ht="14.2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P624" s="15"/>
      <c r="Q624" s="15"/>
      <c r="T624" s="15"/>
      <c r="U624" s="15"/>
      <c r="V624" s="15"/>
      <c r="W624" s="15"/>
      <c r="X624" s="15"/>
      <c r="Y624" s="15"/>
    </row>
    <row r="625" spans="2:25" ht="14.2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P625" s="15"/>
      <c r="Q625" s="15"/>
      <c r="T625" s="15"/>
      <c r="U625" s="15"/>
      <c r="V625" s="15"/>
      <c r="W625" s="15"/>
      <c r="X625" s="15"/>
      <c r="Y625" s="15"/>
    </row>
    <row r="626" spans="2:25" ht="14.2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P626" s="15"/>
      <c r="Q626" s="15"/>
      <c r="T626" s="15"/>
      <c r="U626" s="15"/>
      <c r="V626" s="15"/>
      <c r="W626" s="15"/>
      <c r="X626" s="15"/>
      <c r="Y626" s="15"/>
    </row>
    <row r="627" spans="2:25" ht="14.2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P627" s="15"/>
      <c r="Q627" s="15"/>
      <c r="T627" s="15"/>
      <c r="U627" s="15"/>
      <c r="V627" s="15"/>
      <c r="W627" s="15"/>
      <c r="X627" s="15"/>
      <c r="Y627" s="15"/>
    </row>
    <row r="628" spans="2:25" ht="14.2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P628" s="15"/>
      <c r="Q628" s="15"/>
      <c r="T628" s="15"/>
      <c r="U628" s="15"/>
      <c r="V628" s="15"/>
      <c r="W628" s="15"/>
      <c r="X628" s="15"/>
      <c r="Y628" s="15"/>
    </row>
    <row r="629" spans="2:25" ht="14.2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P629" s="15"/>
      <c r="Q629" s="15"/>
      <c r="T629" s="15"/>
      <c r="U629" s="15"/>
      <c r="V629" s="15"/>
      <c r="W629" s="15"/>
      <c r="X629" s="15"/>
      <c r="Y629" s="15"/>
    </row>
    <row r="630" spans="2:25" ht="14.2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P630" s="15"/>
      <c r="Q630" s="15"/>
      <c r="T630" s="15"/>
      <c r="U630" s="15"/>
      <c r="V630" s="15"/>
      <c r="W630" s="15"/>
      <c r="X630" s="15"/>
      <c r="Y630" s="15"/>
    </row>
    <row r="631" spans="2:25" ht="14.2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P631" s="15"/>
      <c r="Q631" s="15"/>
      <c r="T631" s="15"/>
      <c r="U631" s="15"/>
      <c r="V631" s="15"/>
      <c r="W631" s="15"/>
      <c r="X631" s="15"/>
      <c r="Y631" s="15"/>
    </row>
    <row r="632" spans="2:25" ht="14.2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P632" s="15"/>
      <c r="Q632" s="15"/>
      <c r="T632" s="15"/>
      <c r="U632" s="15"/>
      <c r="V632" s="15"/>
      <c r="W632" s="15"/>
      <c r="X632" s="15"/>
      <c r="Y632" s="15"/>
    </row>
    <row r="633" spans="2:25" ht="14.2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P633" s="15"/>
      <c r="Q633" s="15"/>
      <c r="T633" s="15"/>
      <c r="U633" s="15"/>
      <c r="V633" s="15"/>
      <c r="W633" s="15"/>
      <c r="X633" s="15"/>
      <c r="Y633" s="15"/>
    </row>
    <row r="634" spans="2:25" ht="14.2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P634" s="15"/>
      <c r="Q634" s="15"/>
      <c r="T634" s="15"/>
      <c r="U634" s="15"/>
      <c r="V634" s="15"/>
      <c r="W634" s="15"/>
      <c r="X634" s="15"/>
      <c r="Y634" s="15"/>
    </row>
    <row r="635" spans="2:25" ht="14.2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P635" s="15"/>
      <c r="Q635" s="15"/>
      <c r="T635" s="15"/>
      <c r="U635" s="15"/>
      <c r="V635" s="15"/>
      <c r="W635" s="15"/>
      <c r="X635" s="15"/>
      <c r="Y635" s="15"/>
    </row>
    <row r="636" spans="2:25" ht="14.2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P636" s="15"/>
      <c r="Q636" s="15"/>
      <c r="T636" s="15"/>
      <c r="U636" s="15"/>
      <c r="V636" s="15"/>
      <c r="W636" s="15"/>
      <c r="X636" s="15"/>
      <c r="Y636" s="15"/>
    </row>
    <row r="637" spans="2:25" ht="14.2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P637" s="15"/>
      <c r="Q637" s="15"/>
      <c r="T637" s="15"/>
      <c r="U637" s="15"/>
      <c r="V637" s="15"/>
      <c r="W637" s="15"/>
      <c r="X637" s="15"/>
      <c r="Y637" s="15"/>
    </row>
    <row r="638" spans="2:25" ht="14.2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P638" s="15"/>
      <c r="Q638" s="15"/>
      <c r="T638" s="15"/>
      <c r="U638" s="15"/>
      <c r="V638" s="15"/>
      <c r="W638" s="15"/>
      <c r="X638" s="15"/>
      <c r="Y638" s="15"/>
    </row>
    <row r="639" spans="2:25" ht="14.2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P639" s="15"/>
      <c r="Q639" s="15"/>
      <c r="T639" s="15"/>
      <c r="U639" s="15"/>
      <c r="V639" s="15"/>
      <c r="W639" s="15"/>
      <c r="X639" s="15"/>
      <c r="Y639" s="15"/>
    </row>
    <row r="640" spans="2:25" ht="14.2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P640" s="15"/>
      <c r="Q640" s="15"/>
      <c r="T640" s="15"/>
      <c r="U640" s="15"/>
      <c r="V640" s="15"/>
      <c r="W640" s="15"/>
      <c r="X640" s="15"/>
      <c r="Y640" s="15"/>
    </row>
    <row r="641" spans="2:25" ht="14.2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P641" s="15"/>
      <c r="Q641" s="15"/>
      <c r="T641" s="15"/>
      <c r="U641" s="15"/>
      <c r="V641" s="15"/>
      <c r="W641" s="15"/>
      <c r="X641" s="15"/>
      <c r="Y641" s="15"/>
    </row>
    <row r="642" spans="2:25" ht="14.2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P642" s="15"/>
      <c r="Q642" s="15"/>
      <c r="T642" s="15"/>
      <c r="U642" s="15"/>
      <c r="V642" s="15"/>
      <c r="W642" s="15"/>
      <c r="X642" s="15"/>
      <c r="Y642" s="15"/>
    </row>
    <row r="643" spans="2:25" ht="14.2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P643" s="15"/>
      <c r="Q643" s="15"/>
      <c r="T643" s="15"/>
      <c r="U643" s="15"/>
      <c r="V643" s="15"/>
      <c r="W643" s="15"/>
      <c r="X643" s="15"/>
      <c r="Y643" s="15"/>
    </row>
    <row r="644" spans="2:25" ht="14.2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P644" s="15"/>
      <c r="Q644" s="15"/>
      <c r="T644" s="15"/>
      <c r="U644" s="15"/>
      <c r="V644" s="15"/>
      <c r="W644" s="15"/>
      <c r="X644" s="15"/>
      <c r="Y644" s="15"/>
    </row>
    <row r="645" spans="2:25" ht="14.2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P645" s="15"/>
      <c r="Q645" s="15"/>
      <c r="T645" s="15"/>
      <c r="U645" s="15"/>
      <c r="V645" s="15"/>
      <c r="W645" s="15"/>
      <c r="X645" s="15"/>
      <c r="Y645" s="15"/>
    </row>
    <row r="646" spans="2:25" ht="14.2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P646" s="15"/>
      <c r="Q646" s="15"/>
      <c r="T646" s="15"/>
      <c r="U646" s="15"/>
      <c r="V646" s="15"/>
      <c r="W646" s="15"/>
      <c r="X646" s="15"/>
      <c r="Y646" s="15"/>
    </row>
    <row r="647" spans="2:25" ht="14.2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P647" s="15"/>
      <c r="Q647" s="15"/>
      <c r="T647" s="15"/>
      <c r="U647" s="15"/>
      <c r="V647" s="15"/>
      <c r="W647" s="15"/>
      <c r="X647" s="15"/>
      <c r="Y647" s="15"/>
    </row>
    <row r="648" spans="2:25" ht="14.2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P648" s="15"/>
      <c r="Q648" s="15"/>
      <c r="T648" s="15"/>
      <c r="U648" s="15"/>
      <c r="V648" s="15"/>
      <c r="W648" s="15"/>
      <c r="X648" s="15"/>
      <c r="Y648" s="15"/>
    </row>
    <row r="649" spans="2:25" ht="14.2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P649" s="15"/>
      <c r="Q649" s="15"/>
      <c r="T649" s="15"/>
      <c r="U649" s="15"/>
      <c r="V649" s="15"/>
      <c r="W649" s="15"/>
      <c r="X649" s="15"/>
      <c r="Y649" s="15"/>
    </row>
    <row r="650" spans="2:25" ht="14.2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P650" s="15"/>
      <c r="Q650" s="15"/>
      <c r="T650" s="15"/>
      <c r="U650" s="15"/>
      <c r="V650" s="15"/>
      <c r="W650" s="15"/>
      <c r="X650" s="15"/>
      <c r="Y650" s="15"/>
    </row>
    <row r="651" spans="2:25" ht="14.2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P651" s="15"/>
      <c r="Q651" s="15"/>
      <c r="T651" s="15"/>
      <c r="U651" s="15"/>
      <c r="V651" s="15"/>
      <c r="W651" s="15"/>
      <c r="X651" s="15"/>
      <c r="Y651" s="15"/>
    </row>
    <row r="652" spans="2:25" ht="14.2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P652" s="15"/>
      <c r="Q652" s="15"/>
      <c r="T652" s="15"/>
      <c r="U652" s="15"/>
      <c r="V652" s="15"/>
      <c r="W652" s="15"/>
      <c r="X652" s="15"/>
      <c r="Y652" s="15"/>
    </row>
    <row r="653" spans="2:25" ht="14.2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P653" s="15"/>
      <c r="Q653" s="15"/>
      <c r="T653" s="15"/>
      <c r="U653" s="15"/>
      <c r="V653" s="15"/>
      <c r="W653" s="15"/>
      <c r="X653" s="15"/>
      <c r="Y653" s="15"/>
    </row>
    <row r="654" spans="2:25" ht="14.2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P654" s="15"/>
      <c r="Q654" s="15"/>
      <c r="T654" s="15"/>
      <c r="U654" s="15"/>
      <c r="V654" s="15"/>
      <c r="W654" s="15"/>
      <c r="X654" s="15"/>
      <c r="Y654" s="15"/>
    </row>
    <row r="655" spans="2:25" ht="14.2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P655" s="15"/>
      <c r="Q655" s="15"/>
      <c r="T655" s="15"/>
      <c r="U655" s="15"/>
      <c r="V655" s="15"/>
      <c r="W655" s="15"/>
      <c r="X655" s="15"/>
      <c r="Y655" s="15"/>
    </row>
    <row r="656" spans="2:25" ht="14.2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P656" s="15"/>
      <c r="Q656" s="15"/>
      <c r="T656" s="15"/>
      <c r="U656" s="15"/>
      <c r="V656" s="15"/>
      <c r="W656" s="15"/>
      <c r="X656" s="15"/>
      <c r="Y656" s="15"/>
    </row>
    <row r="657" spans="2:25" ht="14.2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P657" s="15"/>
      <c r="Q657" s="15"/>
      <c r="T657" s="15"/>
      <c r="U657" s="15"/>
      <c r="V657" s="15"/>
      <c r="W657" s="15"/>
      <c r="X657" s="15"/>
      <c r="Y657" s="15"/>
    </row>
    <row r="658" spans="2:25" ht="14.2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P658" s="15"/>
      <c r="Q658" s="15"/>
      <c r="T658" s="15"/>
      <c r="U658" s="15"/>
      <c r="V658" s="15"/>
      <c r="W658" s="15"/>
      <c r="X658" s="15"/>
      <c r="Y658" s="15"/>
    </row>
    <row r="659" spans="2:25" ht="14.2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P659" s="15"/>
      <c r="Q659" s="15"/>
      <c r="T659" s="15"/>
      <c r="U659" s="15"/>
      <c r="V659" s="15"/>
      <c r="W659" s="15"/>
      <c r="X659" s="15"/>
      <c r="Y659" s="15"/>
    </row>
    <row r="660" spans="2:25" ht="14.2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P660" s="15"/>
      <c r="Q660" s="15"/>
      <c r="T660" s="15"/>
      <c r="U660" s="15"/>
      <c r="V660" s="15"/>
      <c r="W660" s="15"/>
      <c r="X660" s="15"/>
      <c r="Y660" s="15"/>
    </row>
    <row r="661" spans="2:25" ht="14.2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P661" s="15"/>
      <c r="Q661" s="15"/>
      <c r="T661" s="15"/>
      <c r="U661" s="15"/>
      <c r="V661" s="15"/>
      <c r="W661" s="15"/>
      <c r="X661" s="15"/>
      <c r="Y661" s="15"/>
    </row>
    <row r="662" spans="2:25" ht="14.2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P662" s="15"/>
      <c r="Q662" s="15"/>
      <c r="T662" s="15"/>
      <c r="U662" s="15"/>
      <c r="V662" s="15"/>
      <c r="W662" s="15"/>
      <c r="X662" s="15"/>
      <c r="Y662" s="15"/>
    </row>
    <row r="663" spans="2:25" ht="14.2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P663" s="15"/>
      <c r="Q663" s="15"/>
      <c r="T663" s="15"/>
      <c r="U663" s="15"/>
      <c r="V663" s="15"/>
      <c r="W663" s="15"/>
      <c r="X663" s="15"/>
      <c r="Y663" s="15"/>
    </row>
    <row r="664" spans="2:25" ht="14.2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P664" s="15"/>
      <c r="Q664" s="15"/>
      <c r="T664" s="15"/>
      <c r="U664" s="15"/>
      <c r="V664" s="15"/>
      <c r="W664" s="15"/>
      <c r="X664" s="15"/>
      <c r="Y664" s="15"/>
    </row>
    <row r="665" spans="2:25" ht="14.2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P665" s="15"/>
      <c r="Q665" s="15"/>
      <c r="T665" s="15"/>
      <c r="U665" s="15"/>
      <c r="V665" s="15"/>
      <c r="W665" s="15"/>
      <c r="X665" s="15"/>
      <c r="Y665" s="15"/>
    </row>
    <row r="666" spans="2:25" ht="14.2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P666" s="15"/>
      <c r="Q666" s="15"/>
      <c r="T666" s="15"/>
      <c r="U666" s="15"/>
      <c r="V666" s="15"/>
      <c r="W666" s="15"/>
      <c r="X666" s="15"/>
      <c r="Y666" s="15"/>
    </row>
    <row r="667" spans="2:25" ht="14.2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P667" s="15"/>
      <c r="Q667" s="15"/>
      <c r="T667" s="15"/>
      <c r="U667" s="15"/>
      <c r="V667" s="15"/>
      <c r="W667" s="15"/>
      <c r="X667" s="15"/>
      <c r="Y667" s="15"/>
    </row>
    <row r="668" spans="2:25" ht="14.2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P668" s="15"/>
      <c r="Q668" s="15"/>
      <c r="T668" s="15"/>
      <c r="U668" s="15"/>
      <c r="V668" s="15"/>
      <c r="W668" s="15"/>
      <c r="X668" s="15"/>
      <c r="Y668" s="15"/>
    </row>
    <row r="669" spans="2:25" ht="14.2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P669" s="15"/>
      <c r="Q669" s="15"/>
      <c r="T669" s="15"/>
      <c r="U669" s="15"/>
      <c r="V669" s="15"/>
      <c r="W669" s="15"/>
      <c r="X669" s="15"/>
      <c r="Y669" s="15"/>
    </row>
    <row r="670" spans="2:25" ht="14.2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P670" s="15"/>
      <c r="Q670" s="15"/>
      <c r="T670" s="15"/>
      <c r="U670" s="15"/>
      <c r="V670" s="15"/>
      <c r="W670" s="15"/>
      <c r="X670" s="15"/>
      <c r="Y670" s="15"/>
    </row>
    <row r="671" spans="2:25" ht="14.2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P671" s="15"/>
      <c r="Q671" s="15"/>
      <c r="T671" s="15"/>
      <c r="U671" s="15"/>
      <c r="V671" s="15"/>
      <c r="W671" s="15"/>
      <c r="X671" s="15"/>
      <c r="Y671" s="15"/>
    </row>
    <row r="672" spans="2:25" ht="14.2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P672" s="15"/>
      <c r="Q672" s="15"/>
      <c r="T672" s="15"/>
      <c r="U672" s="15"/>
      <c r="V672" s="15"/>
      <c r="W672" s="15"/>
      <c r="X672" s="15"/>
      <c r="Y672" s="15"/>
    </row>
    <row r="673" spans="2:25" ht="14.2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P673" s="15"/>
      <c r="Q673" s="15"/>
      <c r="T673" s="15"/>
      <c r="U673" s="15"/>
      <c r="V673" s="15"/>
      <c r="W673" s="15"/>
      <c r="X673" s="15"/>
      <c r="Y673" s="15"/>
    </row>
    <row r="674" spans="2:25" ht="14.2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P674" s="15"/>
      <c r="Q674" s="15"/>
      <c r="T674" s="15"/>
      <c r="U674" s="15"/>
      <c r="V674" s="15"/>
      <c r="W674" s="15"/>
      <c r="X674" s="15"/>
      <c r="Y674" s="15"/>
    </row>
    <row r="675" spans="2:25" ht="14.2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P675" s="15"/>
      <c r="Q675" s="15"/>
      <c r="T675" s="15"/>
      <c r="U675" s="15"/>
      <c r="V675" s="15"/>
      <c r="W675" s="15"/>
      <c r="X675" s="15"/>
      <c r="Y675" s="15"/>
    </row>
    <row r="676" spans="2:25" ht="14.2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P676" s="15"/>
      <c r="Q676" s="15"/>
      <c r="T676" s="15"/>
      <c r="U676" s="15"/>
      <c r="V676" s="15"/>
      <c r="W676" s="15"/>
      <c r="X676" s="15"/>
      <c r="Y676" s="15"/>
    </row>
    <row r="677" spans="2:25" ht="14.2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P677" s="15"/>
      <c r="Q677" s="15"/>
      <c r="T677" s="15"/>
      <c r="U677" s="15"/>
      <c r="V677" s="15"/>
      <c r="W677" s="15"/>
      <c r="X677" s="15"/>
      <c r="Y677" s="15"/>
    </row>
    <row r="678" spans="2:25" ht="14.2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P678" s="15"/>
      <c r="Q678" s="15"/>
      <c r="T678" s="15"/>
      <c r="U678" s="15"/>
      <c r="V678" s="15"/>
      <c r="W678" s="15"/>
      <c r="X678" s="15"/>
      <c r="Y678" s="15"/>
    </row>
    <row r="679" spans="2:25" ht="14.2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P679" s="15"/>
      <c r="Q679" s="15"/>
      <c r="T679" s="15"/>
      <c r="U679" s="15"/>
      <c r="V679" s="15"/>
      <c r="W679" s="15"/>
      <c r="X679" s="15"/>
      <c r="Y679" s="15"/>
    </row>
    <row r="680" spans="2:25" ht="14.2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P680" s="15"/>
      <c r="Q680" s="15"/>
      <c r="T680" s="15"/>
      <c r="U680" s="15"/>
      <c r="V680" s="15"/>
      <c r="W680" s="15"/>
      <c r="X680" s="15"/>
      <c r="Y680" s="15"/>
    </row>
    <row r="681" spans="2:25" ht="14.2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P681" s="15"/>
      <c r="Q681" s="15"/>
      <c r="T681" s="15"/>
      <c r="U681" s="15"/>
      <c r="V681" s="15"/>
      <c r="W681" s="15"/>
      <c r="X681" s="15"/>
      <c r="Y681" s="15"/>
    </row>
    <row r="682" spans="2:25" ht="14.2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P682" s="15"/>
      <c r="Q682" s="15"/>
      <c r="T682" s="15"/>
      <c r="U682" s="15"/>
      <c r="V682" s="15"/>
      <c r="W682" s="15"/>
      <c r="X682" s="15"/>
      <c r="Y682" s="15"/>
    </row>
    <row r="683" spans="2:25" ht="14.2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P683" s="15"/>
      <c r="Q683" s="15"/>
      <c r="T683" s="15"/>
      <c r="U683" s="15"/>
      <c r="V683" s="15"/>
      <c r="W683" s="15"/>
      <c r="X683" s="15"/>
      <c r="Y683" s="15"/>
    </row>
    <row r="684" spans="2:25" ht="14.2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P684" s="15"/>
      <c r="Q684" s="15"/>
      <c r="T684" s="15"/>
      <c r="U684" s="15"/>
      <c r="V684" s="15"/>
      <c r="W684" s="15"/>
      <c r="X684" s="15"/>
      <c r="Y684" s="15"/>
    </row>
    <row r="685" spans="2:25" ht="14.2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P685" s="15"/>
      <c r="Q685" s="15"/>
      <c r="T685" s="15"/>
      <c r="U685" s="15"/>
      <c r="V685" s="15"/>
      <c r="W685" s="15"/>
      <c r="X685" s="15"/>
      <c r="Y685" s="15"/>
    </row>
    <row r="686" spans="2:25" ht="14.2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P686" s="15"/>
      <c r="Q686" s="15"/>
      <c r="T686" s="15"/>
      <c r="U686" s="15"/>
      <c r="V686" s="15"/>
      <c r="W686" s="15"/>
      <c r="X686" s="15"/>
      <c r="Y686" s="15"/>
    </row>
    <row r="687" spans="2:25" ht="14.2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P687" s="15"/>
      <c r="Q687" s="15"/>
      <c r="T687" s="15"/>
      <c r="U687" s="15"/>
      <c r="V687" s="15"/>
      <c r="W687" s="15"/>
      <c r="X687" s="15"/>
      <c r="Y687" s="15"/>
    </row>
    <row r="688" spans="2:25" ht="14.2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P688" s="15"/>
      <c r="Q688" s="15"/>
      <c r="T688" s="15"/>
      <c r="U688" s="15"/>
      <c r="V688" s="15"/>
      <c r="W688" s="15"/>
      <c r="X688" s="15"/>
      <c r="Y688" s="15"/>
    </row>
    <row r="689" spans="2:25" ht="14.2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P689" s="15"/>
      <c r="Q689" s="15"/>
      <c r="T689" s="15"/>
      <c r="U689" s="15"/>
      <c r="V689" s="15"/>
      <c r="W689" s="15"/>
      <c r="X689" s="15"/>
      <c r="Y689" s="15"/>
    </row>
    <row r="690" spans="2:25" ht="14.2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P690" s="15"/>
      <c r="Q690" s="15"/>
      <c r="T690" s="15"/>
      <c r="U690" s="15"/>
      <c r="V690" s="15"/>
      <c r="W690" s="15"/>
      <c r="X690" s="15"/>
      <c r="Y690" s="15"/>
    </row>
    <row r="691" spans="2:25" ht="14.2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P691" s="15"/>
      <c r="Q691" s="15"/>
      <c r="T691" s="15"/>
      <c r="U691" s="15"/>
      <c r="V691" s="15"/>
      <c r="W691" s="15"/>
      <c r="X691" s="15"/>
      <c r="Y691" s="15"/>
    </row>
    <row r="692" spans="2:25" ht="14.2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P692" s="15"/>
      <c r="Q692" s="15"/>
      <c r="T692" s="15"/>
      <c r="U692" s="15"/>
      <c r="V692" s="15"/>
      <c r="W692" s="15"/>
      <c r="X692" s="15"/>
      <c r="Y692" s="15"/>
    </row>
    <row r="693" spans="2:25" ht="14.2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P693" s="15"/>
      <c r="Q693" s="15"/>
      <c r="T693" s="15"/>
      <c r="U693" s="15"/>
      <c r="V693" s="15"/>
      <c r="W693" s="15"/>
      <c r="X693" s="15"/>
      <c r="Y693" s="15"/>
    </row>
    <row r="694" spans="2:25" ht="14.2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P694" s="15"/>
      <c r="Q694" s="15"/>
      <c r="T694" s="15"/>
      <c r="U694" s="15"/>
      <c r="V694" s="15"/>
      <c r="W694" s="15"/>
      <c r="X694" s="15"/>
      <c r="Y694" s="15"/>
    </row>
    <row r="695" spans="2:25" ht="14.2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P695" s="15"/>
      <c r="Q695" s="15"/>
      <c r="T695" s="15"/>
      <c r="U695" s="15"/>
      <c r="V695" s="15"/>
      <c r="W695" s="15"/>
      <c r="X695" s="15"/>
      <c r="Y695" s="15"/>
    </row>
    <row r="696" spans="2:25" ht="14.2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P696" s="15"/>
      <c r="Q696" s="15"/>
      <c r="T696" s="15"/>
      <c r="U696" s="15"/>
      <c r="V696" s="15"/>
      <c r="W696" s="15"/>
      <c r="X696" s="15"/>
      <c r="Y696" s="15"/>
    </row>
    <row r="697" spans="2:25" ht="14.2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P697" s="15"/>
      <c r="Q697" s="15"/>
      <c r="T697" s="15"/>
      <c r="U697" s="15"/>
      <c r="V697" s="15"/>
      <c r="W697" s="15"/>
      <c r="X697" s="15"/>
      <c r="Y697" s="15"/>
    </row>
    <row r="698" spans="2:25" ht="14.2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P698" s="15"/>
      <c r="Q698" s="15"/>
      <c r="T698" s="15"/>
      <c r="U698" s="15"/>
      <c r="V698" s="15"/>
      <c r="W698" s="15"/>
      <c r="X698" s="15"/>
      <c r="Y698" s="15"/>
    </row>
    <row r="699" spans="2:25" ht="14.2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P699" s="15"/>
      <c r="Q699" s="15"/>
      <c r="T699" s="15"/>
      <c r="U699" s="15"/>
      <c r="V699" s="15"/>
      <c r="W699" s="15"/>
      <c r="X699" s="15"/>
      <c r="Y699" s="15"/>
    </row>
    <row r="700" spans="2:25" ht="14.2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P700" s="15"/>
      <c r="Q700" s="15"/>
      <c r="T700" s="15"/>
      <c r="U700" s="15"/>
      <c r="V700" s="15"/>
      <c r="W700" s="15"/>
      <c r="X700" s="15"/>
      <c r="Y700" s="15"/>
    </row>
    <row r="701" spans="2:25" ht="14.2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P701" s="15"/>
      <c r="Q701" s="15"/>
      <c r="T701" s="15"/>
      <c r="U701" s="15"/>
      <c r="V701" s="15"/>
      <c r="W701" s="15"/>
      <c r="X701" s="15"/>
      <c r="Y701" s="15"/>
    </row>
    <row r="702" spans="2:25" ht="14.2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P702" s="15"/>
      <c r="Q702" s="15"/>
      <c r="T702" s="15"/>
      <c r="U702" s="15"/>
      <c r="V702" s="15"/>
      <c r="W702" s="15"/>
      <c r="X702" s="15"/>
      <c r="Y702" s="15"/>
    </row>
    <row r="703" spans="2:25" ht="14.2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P703" s="15"/>
      <c r="Q703" s="15"/>
      <c r="T703" s="15"/>
      <c r="U703" s="15"/>
      <c r="V703" s="15"/>
      <c r="W703" s="15"/>
      <c r="X703" s="15"/>
      <c r="Y703" s="15"/>
    </row>
    <row r="704" spans="2:25" ht="14.2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P704" s="15"/>
      <c r="Q704" s="15"/>
      <c r="T704" s="15"/>
      <c r="U704" s="15"/>
      <c r="V704" s="15"/>
      <c r="W704" s="15"/>
      <c r="X704" s="15"/>
      <c r="Y704" s="15"/>
    </row>
    <row r="705" spans="2:25" ht="14.2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P705" s="15"/>
      <c r="Q705" s="15"/>
      <c r="T705" s="15"/>
      <c r="U705" s="15"/>
      <c r="V705" s="15"/>
      <c r="W705" s="15"/>
      <c r="X705" s="15"/>
      <c r="Y705" s="15"/>
    </row>
    <row r="706" spans="2:25" ht="14.2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P706" s="15"/>
      <c r="Q706" s="15"/>
      <c r="T706" s="15"/>
      <c r="U706" s="15"/>
      <c r="V706" s="15"/>
      <c r="W706" s="15"/>
      <c r="X706" s="15"/>
      <c r="Y706" s="15"/>
    </row>
    <row r="707" spans="2:25" ht="14.2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P707" s="15"/>
      <c r="Q707" s="15"/>
      <c r="T707" s="15"/>
      <c r="U707" s="15"/>
      <c r="V707" s="15"/>
      <c r="W707" s="15"/>
      <c r="X707" s="15"/>
      <c r="Y707" s="15"/>
    </row>
    <row r="708" spans="2:25" ht="14.2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P708" s="15"/>
      <c r="Q708" s="15"/>
      <c r="T708" s="15"/>
      <c r="U708" s="15"/>
      <c r="V708" s="15"/>
      <c r="W708" s="15"/>
      <c r="X708" s="15"/>
      <c r="Y708" s="15"/>
    </row>
    <row r="709" spans="2:25" ht="14.2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P709" s="15"/>
      <c r="Q709" s="15"/>
      <c r="T709" s="15"/>
      <c r="U709" s="15"/>
      <c r="V709" s="15"/>
      <c r="W709" s="15"/>
      <c r="X709" s="15"/>
      <c r="Y709" s="15"/>
    </row>
    <row r="710" spans="2:25" ht="14.2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P710" s="15"/>
      <c r="Q710" s="15"/>
      <c r="T710" s="15"/>
      <c r="U710" s="15"/>
      <c r="V710" s="15"/>
      <c r="W710" s="15"/>
      <c r="X710" s="15"/>
      <c r="Y710" s="15"/>
    </row>
    <row r="711" spans="2:25" ht="14.2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P711" s="15"/>
      <c r="Q711" s="15"/>
      <c r="T711" s="15"/>
      <c r="U711" s="15"/>
      <c r="V711" s="15"/>
      <c r="W711" s="15"/>
      <c r="X711" s="15"/>
      <c r="Y711" s="15"/>
    </row>
    <row r="712" spans="2:25" ht="14.2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P712" s="15"/>
      <c r="Q712" s="15"/>
      <c r="T712" s="15"/>
      <c r="U712" s="15"/>
      <c r="V712" s="15"/>
      <c r="W712" s="15"/>
      <c r="X712" s="15"/>
      <c r="Y712" s="15"/>
    </row>
    <row r="713" spans="2:25" ht="14.2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P713" s="15"/>
      <c r="Q713" s="15"/>
      <c r="T713" s="15"/>
      <c r="U713" s="15"/>
      <c r="V713" s="15"/>
      <c r="W713" s="15"/>
      <c r="X713" s="15"/>
      <c r="Y713" s="15"/>
    </row>
    <row r="714" spans="2:25" ht="14.2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P714" s="15"/>
      <c r="Q714" s="15"/>
      <c r="T714" s="15"/>
      <c r="U714" s="15"/>
      <c r="V714" s="15"/>
      <c r="W714" s="15"/>
      <c r="X714" s="15"/>
      <c r="Y714" s="15"/>
    </row>
    <row r="715" spans="2:25" ht="14.2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P715" s="15"/>
      <c r="Q715" s="15"/>
      <c r="T715" s="15"/>
      <c r="U715" s="15"/>
      <c r="V715" s="15"/>
      <c r="W715" s="15"/>
      <c r="X715" s="15"/>
      <c r="Y715" s="15"/>
    </row>
    <row r="716" spans="2:25" ht="14.2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P716" s="15"/>
      <c r="Q716" s="15"/>
      <c r="T716" s="15"/>
      <c r="U716" s="15"/>
      <c r="V716" s="15"/>
      <c r="W716" s="15"/>
      <c r="X716" s="15"/>
      <c r="Y716" s="15"/>
    </row>
    <row r="717" spans="2:25" ht="14.2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P717" s="15"/>
      <c r="Q717" s="15"/>
      <c r="T717" s="15"/>
      <c r="U717" s="15"/>
      <c r="V717" s="15"/>
      <c r="W717" s="15"/>
      <c r="X717" s="15"/>
      <c r="Y717" s="15"/>
    </row>
    <row r="718" spans="2:25" ht="14.2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P718" s="15"/>
      <c r="Q718" s="15"/>
      <c r="T718" s="15"/>
      <c r="U718" s="15"/>
      <c r="V718" s="15"/>
      <c r="W718" s="15"/>
      <c r="X718" s="15"/>
      <c r="Y718" s="15"/>
    </row>
    <row r="719" spans="2:25" ht="14.2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P719" s="15"/>
      <c r="Q719" s="15"/>
      <c r="T719" s="15"/>
      <c r="U719" s="15"/>
      <c r="V719" s="15"/>
      <c r="W719" s="15"/>
      <c r="X719" s="15"/>
      <c r="Y719" s="15"/>
    </row>
    <row r="720" spans="2:25" ht="14.2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P720" s="15"/>
      <c r="Q720" s="15"/>
      <c r="T720" s="15"/>
      <c r="U720" s="15"/>
      <c r="V720" s="15"/>
      <c r="W720" s="15"/>
      <c r="X720" s="15"/>
      <c r="Y720" s="15"/>
    </row>
    <row r="721" spans="2:25" ht="14.2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P721" s="15"/>
      <c r="Q721" s="15"/>
      <c r="T721" s="15"/>
      <c r="U721" s="15"/>
      <c r="V721" s="15"/>
      <c r="W721" s="15"/>
      <c r="X721" s="15"/>
      <c r="Y721" s="15"/>
    </row>
    <row r="722" spans="2:25" ht="14.2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P722" s="15"/>
      <c r="Q722" s="15"/>
      <c r="T722" s="15"/>
      <c r="U722" s="15"/>
      <c r="V722" s="15"/>
      <c r="W722" s="15"/>
      <c r="X722" s="15"/>
      <c r="Y722" s="15"/>
    </row>
    <row r="723" spans="2:25" ht="14.2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P723" s="15"/>
      <c r="Q723" s="15"/>
      <c r="T723" s="15"/>
      <c r="U723" s="15"/>
      <c r="V723" s="15"/>
      <c r="W723" s="15"/>
      <c r="X723" s="15"/>
      <c r="Y723" s="15"/>
    </row>
    <row r="724" spans="2:25" ht="14.2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P724" s="15"/>
      <c r="Q724" s="15"/>
      <c r="T724" s="15"/>
      <c r="U724" s="15"/>
      <c r="V724" s="15"/>
      <c r="W724" s="15"/>
      <c r="X724" s="15"/>
      <c r="Y724" s="15"/>
    </row>
    <row r="725" spans="2:25" ht="14.2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P725" s="15"/>
      <c r="Q725" s="15"/>
      <c r="T725" s="15"/>
      <c r="U725" s="15"/>
      <c r="V725" s="15"/>
      <c r="W725" s="15"/>
      <c r="X725" s="15"/>
      <c r="Y725" s="15"/>
    </row>
    <row r="726" spans="2:25" ht="14.2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P726" s="15"/>
      <c r="Q726" s="15"/>
      <c r="T726" s="15"/>
      <c r="U726" s="15"/>
      <c r="V726" s="15"/>
      <c r="W726" s="15"/>
      <c r="X726" s="15"/>
      <c r="Y726" s="15"/>
    </row>
    <row r="727" spans="2:25" ht="14.2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P727" s="15"/>
      <c r="Q727" s="15"/>
      <c r="T727" s="15"/>
      <c r="U727" s="15"/>
      <c r="V727" s="15"/>
      <c r="W727" s="15"/>
      <c r="X727" s="15"/>
      <c r="Y727" s="15"/>
    </row>
    <row r="728" spans="2:25" ht="14.2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P728" s="15"/>
      <c r="Q728" s="15"/>
      <c r="T728" s="15"/>
      <c r="U728" s="15"/>
      <c r="V728" s="15"/>
      <c r="W728" s="15"/>
      <c r="X728" s="15"/>
      <c r="Y728" s="15"/>
    </row>
    <row r="729" spans="2:25" ht="14.2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P729" s="15"/>
      <c r="Q729" s="15"/>
      <c r="T729" s="15"/>
      <c r="U729" s="15"/>
      <c r="V729" s="15"/>
      <c r="W729" s="15"/>
      <c r="X729" s="15"/>
      <c r="Y729" s="15"/>
    </row>
    <row r="730" spans="2:25" ht="14.2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P730" s="15"/>
      <c r="Q730" s="15"/>
      <c r="T730" s="15"/>
      <c r="U730" s="15"/>
      <c r="V730" s="15"/>
      <c r="W730" s="15"/>
      <c r="X730" s="15"/>
      <c r="Y730" s="15"/>
    </row>
    <row r="731" spans="2:25" ht="14.2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P731" s="15"/>
      <c r="Q731" s="15"/>
      <c r="T731" s="15"/>
      <c r="U731" s="15"/>
      <c r="V731" s="15"/>
      <c r="W731" s="15"/>
      <c r="X731" s="15"/>
      <c r="Y731" s="15"/>
    </row>
    <row r="732" spans="2:25" ht="14.2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P732" s="15"/>
      <c r="Q732" s="15"/>
      <c r="T732" s="15"/>
      <c r="U732" s="15"/>
      <c r="V732" s="15"/>
      <c r="W732" s="15"/>
      <c r="X732" s="15"/>
      <c r="Y732" s="15"/>
    </row>
    <row r="733" spans="2:25" ht="14.2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P733" s="15"/>
      <c r="Q733" s="15"/>
      <c r="T733" s="15"/>
      <c r="U733" s="15"/>
      <c r="V733" s="15"/>
      <c r="W733" s="15"/>
      <c r="X733" s="15"/>
      <c r="Y733" s="15"/>
    </row>
    <row r="734" spans="2:25" ht="14.2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P734" s="15"/>
      <c r="Q734" s="15"/>
      <c r="T734" s="15"/>
      <c r="U734" s="15"/>
      <c r="V734" s="15"/>
      <c r="W734" s="15"/>
      <c r="X734" s="15"/>
      <c r="Y734" s="15"/>
    </row>
    <row r="735" spans="2:25" ht="14.2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P735" s="15"/>
      <c r="Q735" s="15"/>
      <c r="T735" s="15"/>
      <c r="U735" s="15"/>
      <c r="V735" s="15"/>
      <c r="W735" s="15"/>
      <c r="X735" s="15"/>
      <c r="Y735" s="15"/>
    </row>
    <row r="736" spans="2:25" ht="14.2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P736" s="15"/>
      <c r="Q736" s="15"/>
      <c r="T736" s="15"/>
      <c r="U736" s="15"/>
      <c r="V736" s="15"/>
      <c r="W736" s="15"/>
      <c r="X736" s="15"/>
      <c r="Y736" s="15"/>
    </row>
    <row r="737" spans="2:25" ht="14.2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P737" s="15"/>
      <c r="Q737" s="15"/>
      <c r="T737" s="15"/>
      <c r="U737" s="15"/>
      <c r="V737" s="15"/>
      <c r="W737" s="15"/>
      <c r="X737" s="15"/>
      <c r="Y737" s="15"/>
    </row>
    <row r="738" spans="2:25" ht="14.2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P738" s="15"/>
      <c r="Q738" s="15"/>
      <c r="T738" s="15"/>
      <c r="U738" s="15"/>
      <c r="V738" s="15"/>
      <c r="W738" s="15"/>
      <c r="X738" s="15"/>
      <c r="Y738" s="15"/>
    </row>
    <row r="739" spans="2:25" ht="14.2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P739" s="15"/>
      <c r="Q739" s="15"/>
      <c r="T739" s="15"/>
      <c r="U739" s="15"/>
      <c r="V739" s="15"/>
      <c r="W739" s="15"/>
      <c r="X739" s="15"/>
      <c r="Y739" s="15"/>
    </row>
    <row r="740" spans="2:25" ht="14.2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P740" s="15"/>
      <c r="Q740" s="15"/>
      <c r="T740" s="15"/>
      <c r="U740" s="15"/>
      <c r="V740" s="15"/>
      <c r="W740" s="15"/>
      <c r="X740" s="15"/>
      <c r="Y740" s="15"/>
    </row>
    <row r="741" spans="2:25" ht="14.2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P741" s="15"/>
      <c r="Q741" s="15"/>
      <c r="T741" s="15"/>
      <c r="U741" s="15"/>
      <c r="V741" s="15"/>
      <c r="W741" s="15"/>
      <c r="X741" s="15"/>
      <c r="Y741" s="15"/>
    </row>
    <row r="742" spans="2:25" ht="14.2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P742" s="15"/>
      <c r="Q742" s="15"/>
      <c r="T742" s="15"/>
      <c r="U742" s="15"/>
      <c r="V742" s="15"/>
      <c r="W742" s="15"/>
      <c r="X742" s="15"/>
      <c r="Y742" s="15"/>
    </row>
    <row r="743" spans="2:25" ht="14.2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P743" s="15"/>
      <c r="Q743" s="15"/>
      <c r="T743" s="15"/>
      <c r="U743" s="15"/>
      <c r="V743" s="15"/>
      <c r="W743" s="15"/>
      <c r="X743" s="15"/>
      <c r="Y743" s="15"/>
    </row>
    <row r="744" spans="2:25" ht="14.2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P744" s="15"/>
      <c r="Q744" s="15"/>
      <c r="T744" s="15"/>
      <c r="U744" s="15"/>
      <c r="V744" s="15"/>
      <c r="W744" s="15"/>
      <c r="X744" s="15"/>
      <c r="Y744" s="15"/>
    </row>
    <row r="745" spans="2:25" ht="14.2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P745" s="15"/>
      <c r="Q745" s="15"/>
      <c r="T745" s="15"/>
      <c r="U745" s="15"/>
      <c r="V745" s="15"/>
      <c r="W745" s="15"/>
      <c r="X745" s="15"/>
      <c r="Y745" s="15"/>
    </row>
    <row r="746" spans="2:25" ht="14.2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P746" s="15"/>
      <c r="Q746" s="15"/>
      <c r="T746" s="15"/>
      <c r="U746" s="15"/>
      <c r="V746" s="15"/>
      <c r="W746" s="15"/>
      <c r="X746" s="15"/>
      <c r="Y746" s="15"/>
    </row>
    <row r="747" spans="2:25" ht="14.2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P747" s="15"/>
      <c r="Q747" s="15"/>
      <c r="T747" s="15"/>
      <c r="U747" s="15"/>
      <c r="V747" s="15"/>
      <c r="W747" s="15"/>
      <c r="X747" s="15"/>
      <c r="Y747" s="15"/>
    </row>
    <row r="748" spans="2:25" ht="14.2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P748" s="15"/>
      <c r="Q748" s="15"/>
      <c r="T748" s="15"/>
      <c r="U748" s="15"/>
      <c r="V748" s="15"/>
      <c r="W748" s="15"/>
      <c r="X748" s="15"/>
      <c r="Y748" s="15"/>
    </row>
    <row r="749" spans="2:25" ht="14.2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P749" s="15"/>
      <c r="Q749" s="15"/>
      <c r="T749" s="15"/>
      <c r="U749" s="15"/>
      <c r="V749" s="15"/>
      <c r="W749" s="15"/>
      <c r="X749" s="15"/>
      <c r="Y749" s="15"/>
    </row>
    <row r="750" spans="2:25" ht="14.2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P750" s="15"/>
      <c r="Q750" s="15"/>
      <c r="T750" s="15"/>
      <c r="U750" s="15"/>
      <c r="V750" s="15"/>
      <c r="W750" s="15"/>
      <c r="X750" s="15"/>
      <c r="Y750" s="15"/>
    </row>
    <row r="751" spans="2:25" ht="14.2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P751" s="15"/>
      <c r="Q751" s="15"/>
      <c r="T751" s="15"/>
      <c r="U751" s="15"/>
      <c r="V751" s="15"/>
      <c r="W751" s="15"/>
      <c r="X751" s="15"/>
      <c r="Y751" s="15"/>
    </row>
    <row r="752" spans="2:25" ht="14.2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P752" s="15"/>
      <c r="Q752" s="15"/>
      <c r="T752" s="15"/>
      <c r="U752" s="15"/>
      <c r="V752" s="15"/>
      <c r="W752" s="15"/>
      <c r="X752" s="15"/>
      <c r="Y752" s="15"/>
    </row>
    <row r="753" spans="2:25" ht="14.2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P753" s="15"/>
      <c r="Q753" s="15"/>
      <c r="T753" s="15"/>
      <c r="U753" s="15"/>
      <c r="V753" s="15"/>
      <c r="W753" s="15"/>
      <c r="X753" s="15"/>
      <c r="Y753" s="15"/>
    </row>
    <row r="754" spans="2:25" ht="14.2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P754" s="15"/>
      <c r="Q754" s="15"/>
      <c r="T754" s="15"/>
      <c r="U754" s="15"/>
      <c r="V754" s="15"/>
      <c r="W754" s="15"/>
      <c r="X754" s="15"/>
      <c r="Y754" s="15"/>
    </row>
    <row r="755" spans="2:25" ht="14.2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P755" s="15"/>
      <c r="Q755" s="15"/>
      <c r="T755" s="15"/>
      <c r="U755" s="15"/>
      <c r="V755" s="15"/>
      <c r="W755" s="15"/>
      <c r="X755" s="15"/>
      <c r="Y755" s="15"/>
    </row>
    <row r="756" spans="2:25" ht="14.2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P756" s="15"/>
      <c r="Q756" s="15"/>
      <c r="T756" s="15"/>
      <c r="U756" s="15"/>
      <c r="V756" s="15"/>
      <c r="W756" s="15"/>
      <c r="X756" s="15"/>
      <c r="Y756" s="15"/>
    </row>
    <row r="757" spans="2:25" ht="14.2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P757" s="15"/>
      <c r="Q757" s="15"/>
      <c r="T757" s="15"/>
      <c r="U757" s="15"/>
      <c r="V757" s="15"/>
      <c r="W757" s="15"/>
      <c r="X757" s="15"/>
      <c r="Y757" s="15"/>
    </row>
    <row r="758" spans="2:25" ht="14.2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P758" s="15"/>
      <c r="Q758" s="15"/>
      <c r="T758" s="15"/>
      <c r="U758" s="15"/>
      <c r="V758" s="15"/>
      <c r="W758" s="15"/>
      <c r="X758" s="15"/>
      <c r="Y758" s="15"/>
    </row>
    <row r="759" spans="2:25" ht="14.2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P759" s="15"/>
      <c r="Q759" s="15"/>
      <c r="T759" s="15"/>
      <c r="U759" s="15"/>
      <c r="V759" s="15"/>
      <c r="W759" s="15"/>
      <c r="X759" s="15"/>
      <c r="Y759" s="15"/>
    </row>
    <row r="760" spans="2:25" ht="14.2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P760" s="15"/>
      <c r="Q760" s="15"/>
      <c r="T760" s="15"/>
      <c r="U760" s="15"/>
      <c r="V760" s="15"/>
      <c r="W760" s="15"/>
      <c r="X760" s="15"/>
      <c r="Y760" s="15"/>
    </row>
    <row r="761" spans="2:25" ht="14.2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P761" s="15"/>
      <c r="Q761" s="15"/>
      <c r="T761" s="15"/>
      <c r="U761" s="15"/>
      <c r="V761" s="15"/>
      <c r="W761" s="15"/>
      <c r="X761" s="15"/>
      <c r="Y761" s="15"/>
    </row>
    <row r="762" spans="2:25" ht="14.2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P762" s="15"/>
      <c r="Q762" s="15"/>
      <c r="T762" s="15"/>
      <c r="U762" s="15"/>
      <c r="V762" s="15"/>
      <c r="W762" s="15"/>
      <c r="X762" s="15"/>
      <c r="Y762" s="15"/>
    </row>
    <row r="763" spans="2:25" ht="14.2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P763" s="15"/>
      <c r="Q763" s="15"/>
      <c r="T763" s="15"/>
      <c r="U763" s="15"/>
      <c r="V763" s="15"/>
      <c r="W763" s="15"/>
      <c r="X763" s="15"/>
      <c r="Y763" s="15"/>
    </row>
    <row r="764" spans="2:25" ht="14.2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P764" s="15"/>
      <c r="Q764" s="15"/>
      <c r="T764" s="15"/>
      <c r="U764" s="15"/>
      <c r="V764" s="15"/>
      <c r="W764" s="15"/>
      <c r="X764" s="15"/>
      <c r="Y764" s="15"/>
    </row>
    <row r="765" spans="2:25" ht="14.2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P765" s="15"/>
      <c r="Q765" s="15"/>
      <c r="T765" s="15"/>
      <c r="U765" s="15"/>
      <c r="V765" s="15"/>
      <c r="W765" s="15"/>
      <c r="X765" s="15"/>
      <c r="Y765" s="15"/>
    </row>
    <row r="766" spans="2:25" ht="14.2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P766" s="15"/>
      <c r="Q766" s="15"/>
      <c r="T766" s="15"/>
      <c r="U766" s="15"/>
      <c r="V766" s="15"/>
      <c r="W766" s="15"/>
      <c r="X766" s="15"/>
      <c r="Y766" s="15"/>
    </row>
    <row r="767" spans="2:25" ht="14.2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P767" s="15"/>
      <c r="Q767" s="15"/>
      <c r="T767" s="15"/>
      <c r="U767" s="15"/>
      <c r="V767" s="15"/>
      <c r="W767" s="15"/>
      <c r="X767" s="15"/>
      <c r="Y767" s="15"/>
    </row>
    <row r="768" spans="2:25" ht="14.2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P768" s="15"/>
      <c r="Q768" s="15"/>
      <c r="T768" s="15"/>
      <c r="U768" s="15"/>
      <c r="V768" s="15"/>
      <c r="W768" s="15"/>
      <c r="X768" s="15"/>
      <c r="Y768" s="15"/>
    </row>
    <row r="769" spans="2:25" ht="14.2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P769" s="15"/>
      <c r="Q769" s="15"/>
      <c r="T769" s="15"/>
      <c r="U769" s="15"/>
      <c r="V769" s="15"/>
      <c r="W769" s="15"/>
      <c r="X769" s="15"/>
      <c r="Y769" s="15"/>
    </row>
    <row r="770" spans="2:25" ht="14.2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P770" s="15"/>
      <c r="Q770" s="15"/>
      <c r="T770" s="15"/>
      <c r="U770" s="15"/>
      <c r="V770" s="15"/>
      <c r="W770" s="15"/>
      <c r="X770" s="15"/>
      <c r="Y770" s="15"/>
    </row>
    <row r="771" spans="2:25" ht="14.2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P771" s="15"/>
      <c r="Q771" s="15"/>
      <c r="T771" s="15"/>
      <c r="U771" s="15"/>
      <c r="V771" s="15"/>
      <c r="W771" s="15"/>
      <c r="X771" s="15"/>
      <c r="Y771" s="15"/>
    </row>
    <row r="772" spans="2:25" ht="14.2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P772" s="15"/>
      <c r="Q772" s="15"/>
      <c r="T772" s="15"/>
      <c r="U772" s="15"/>
      <c r="V772" s="15"/>
      <c r="W772" s="15"/>
      <c r="X772" s="15"/>
      <c r="Y772" s="15"/>
    </row>
    <row r="773" spans="2:25" ht="14.2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P773" s="15"/>
      <c r="Q773" s="15"/>
      <c r="T773" s="15"/>
      <c r="U773" s="15"/>
      <c r="V773" s="15"/>
      <c r="W773" s="15"/>
      <c r="X773" s="15"/>
      <c r="Y773" s="15"/>
    </row>
    <row r="774" spans="2:25" ht="14.2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P774" s="15"/>
      <c r="Q774" s="15"/>
      <c r="T774" s="15"/>
      <c r="U774" s="15"/>
      <c r="V774" s="15"/>
      <c r="W774" s="15"/>
      <c r="X774" s="15"/>
      <c r="Y774" s="15"/>
    </row>
    <row r="775" spans="2:25" ht="14.2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P775" s="15"/>
      <c r="Q775" s="15"/>
      <c r="T775" s="15"/>
      <c r="U775" s="15"/>
      <c r="V775" s="15"/>
      <c r="W775" s="15"/>
      <c r="X775" s="15"/>
      <c r="Y775" s="15"/>
    </row>
    <row r="776" spans="2:25" ht="14.2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P776" s="15"/>
      <c r="Q776" s="15"/>
      <c r="T776" s="15"/>
      <c r="U776" s="15"/>
      <c r="V776" s="15"/>
      <c r="W776" s="15"/>
      <c r="X776" s="15"/>
      <c r="Y776" s="15"/>
    </row>
    <row r="777" spans="2:25" ht="14.2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P777" s="15"/>
      <c r="Q777" s="15"/>
      <c r="T777" s="15"/>
      <c r="U777" s="15"/>
      <c r="V777" s="15"/>
      <c r="W777" s="15"/>
      <c r="X777" s="15"/>
      <c r="Y777" s="15"/>
    </row>
    <row r="778" spans="2:25" ht="14.2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P778" s="15"/>
      <c r="Q778" s="15"/>
      <c r="T778" s="15"/>
      <c r="U778" s="15"/>
      <c r="V778" s="15"/>
      <c r="W778" s="15"/>
      <c r="X778" s="15"/>
      <c r="Y778" s="15"/>
    </row>
    <row r="779" spans="2:25" ht="14.2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P779" s="15"/>
      <c r="Q779" s="15"/>
      <c r="T779" s="15"/>
      <c r="U779" s="15"/>
      <c r="V779" s="15"/>
      <c r="W779" s="15"/>
      <c r="X779" s="15"/>
      <c r="Y779" s="15"/>
    </row>
    <row r="780" spans="2:25" ht="14.2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P780" s="15"/>
      <c r="Q780" s="15"/>
      <c r="T780" s="15"/>
      <c r="U780" s="15"/>
      <c r="V780" s="15"/>
      <c r="W780" s="15"/>
      <c r="X780" s="15"/>
      <c r="Y780" s="15"/>
    </row>
    <row r="781" spans="2:25" ht="14.2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P781" s="15"/>
      <c r="Q781" s="15"/>
      <c r="T781" s="15"/>
      <c r="U781" s="15"/>
      <c r="V781" s="15"/>
      <c r="W781" s="15"/>
      <c r="X781" s="15"/>
      <c r="Y781" s="15"/>
    </row>
    <row r="782" spans="2:25" ht="14.2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P782" s="15"/>
      <c r="Q782" s="15"/>
      <c r="T782" s="15"/>
      <c r="U782" s="15"/>
      <c r="V782" s="15"/>
      <c r="W782" s="15"/>
      <c r="X782" s="15"/>
      <c r="Y782" s="15"/>
    </row>
    <row r="783" spans="2:25" ht="14.2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P783" s="15"/>
      <c r="Q783" s="15"/>
      <c r="T783" s="15"/>
      <c r="U783" s="15"/>
      <c r="V783" s="15"/>
      <c r="W783" s="15"/>
      <c r="X783" s="15"/>
      <c r="Y783" s="15"/>
    </row>
    <row r="784" spans="2:25" ht="14.2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P784" s="15"/>
      <c r="Q784" s="15"/>
      <c r="T784" s="15"/>
      <c r="U784" s="15"/>
      <c r="V784" s="15"/>
      <c r="W784" s="15"/>
      <c r="X784" s="15"/>
      <c r="Y784" s="15"/>
    </row>
    <row r="785" spans="2:25" ht="14.2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P785" s="15"/>
      <c r="Q785" s="15"/>
      <c r="T785" s="15"/>
      <c r="U785" s="15"/>
      <c r="V785" s="15"/>
      <c r="W785" s="15"/>
      <c r="X785" s="15"/>
      <c r="Y785" s="15"/>
    </row>
    <row r="786" spans="2:25" ht="14.2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P786" s="15"/>
      <c r="Q786" s="15"/>
      <c r="T786" s="15"/>
      <c r="U786" s="15"/>
      <c r="V786" s="15"/>
      <c r="W786" s="15"/>
      <c r="X786" s="15"/>
      <c r="Y786" s="15"/>
    </row>
    <row r="787" spans="2:25" ht="14.2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P787" s="15"/>
      <c r="Q787" s="15"/>
      <c r="T787" s="15"/>
      <c r="U787" s="15"/>
      <c r="V787" s="15"/>
      <c r="W787" s="15"/>
      <c r="X787" s="15"/>
      <c r="Y787" s="15"/>
    </row>
    <row r="788" spans="2:25" ht="14.25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P788" s="15"/>
      <c r="Q788" s="15"/>
      <c r="T788" s="15"/>
      <c r="U788" s="15"/>
      <c r="V788" s="15"/>
      <c r="W788" s="15"/>
      <c r="X788" s="15"/>
      <c r="Y788" s="15"/>
    </row>
    <row r="789" spans="2:25" ht="14.25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P789" s="15"/>
      <c r="Q789" s="15"/>
      <c r="T789" s="15"/>
      <c r="U789" s="15"/>
      <c r="V789" s="15"/>
      <c r="W789" s="15"/>
      <c r="X789" s="15"/>
      <c r="Y789" s="15"/>
    </row>
    <row r="790" spans="2:25" ht="14.25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P790" s="15"/>
      <c r="Q790" s="15"/>
      <c r="T790" s="15"/>
      <c r="U790" s="15"/>
      <c r="V790" s="15"/>
      <c r="W790" s="15"/>
      <c r="X790" s="15"/>
      <c r="Y790" s="15"/>
    </row>
    <row r="791" spans="2:25" ht="14.25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P791" s="15"/>
      <c r="Q791" s="15"/>
      <c r="T791" s="15"/>
      <c r="U791" s="15"/>
      <c r="V791" s="15"/>
      <c r="W791" s="15"/>
      <c r="X791" s="15"/>
      <c r="Y791" s="15"/>
    </row>
    <row r="792" spans="2:25" ht="14.25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P792" s="15"/>
      <c r="Q792" s="15"/>
      <c r="T792" s="15"/>
      <c r="U792" s="15"/>
      <c r="V792" s="15"/>
      <c r="W792" s="15"/>
      <c r="X792" s="15"/>
      <c r="Y792" s="15"/>
    </row>
    <row r="793" spans="2:25" ht="14.2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P793" s="15"/>
      <c r="Q793" s="15"/>
      <c r="T793" s="15"/>
      <c r="U793" s="15"/>
      <c r="V793" s="15"/>
      <c r="W793" s="15"/>
      <c r="X793" s="15"/>
      <c r="Y793" s="15"/>
    </row>
    <row r="794" spans="2:25" ht="14.25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P794" s="15"/>
      <c r="Q794" s="15"/>
      <c r="T794" s="15"/>
      <c r="U794" s="15"/>
      <c r="V794" s="15"/>
      <c r="W794" s="15"/>
      <c r="X794" s="15"/>
      <c r="Y794" s="15"/>
    </row>
    <row r="795" spans="2:25" ht="14.25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P795" s="15"/>
      <c r="Q795" s="15"/>
      <c r="T795" s="15"/>
      <c r="U795" s="15"/>
      <c r="V795" s="15"/>
      <c r="W795" s="15"/>
      <c r="X795" s="15"/>
      <c r="Y795" s="15"/>
    </row>
    <row r="796" spans="2:25" ht="14.25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P796" s="15"/>
      <c r="Q796" s="15"/>
      <c r="T796" s="15"/>
      <c r="U796" s="15"/>
      <c r="V796" s="15"/>
      <c r="W796" s="15"/>
      <c r="X796" s="15"/>
      <c r="Y796" s="15"/>
    </row>
    <row r="797" spans="2:25" ht="14.25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P797" s="15"/>
      <c r="Q797" s="15"/>
      <c r="T797" s="15"/>
      <c r="U797" s="15"/>
      <c r="V797" s="15"/>
      <c r="W797" s="15"/>
      <c r="X797" s="15"/>
      <c r="Y797" s="15"/>
    </row>
    <row r="798" spans="2:25" ht="14.25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P798" s="15"/>
      <c r="Q798" s="15"/>
      <c r="T798" s="15"/>
      <c r="U798" s="15"/>
      <c r="V798" s="15"/>
      <c r="W798" s="15"/>
      <c r="X798" s="15"/>
      <c r="Y798" s="15"/>
    </row>
    <row r="799" spans="2:25" ht="14.25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P799" s="15"/>
      <c r="Q799" s="15"/>
      <c r="T799" s="15"/>
      <c r="U799" s="15"/>
      <c r="V799" s="15"/>
      <c r="W799" s="15"/>
      <c r="X799" s="15"/>
      <c r="Y799" s="15"/>
    </row>
    <row r="800" spans="2:25" ht="14.25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P800" s="15"/>
      <c r="Q800" s="15"/>
      <c r="T800" s="15"/>
      <c r="U800" s="15"/>
      <c r="V800" s="15"/>
      <c r="W800" s="15"/>
      <c r="X800" s="15"/>
      <c r="Y800" s="15"/>
    </row>
    <row r="801" spans="2:25" ht="14.25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P801" s="15"/>
      <c r="Q801" s="15"/>
      <c r="T801" s="15"/>
      <c r="U801" s="15"/>
      <c r="V801" s="15"/>
      <c r="W801" s="15"/>
      <c r="X801" s="15"/>
      <c r="Y801" s="15"/>
    </row>
    <row r="802" spans="2:25" ht="14.25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P802" s="15"/>
      <c r="Q802" s="15"/>
      <c r="T802" s="15"/>
      <c r="U802" s="15"/>
      <c r="V802" s="15"/>
      <c r="W802" s="15"/>
      <c r="X802" s="15"/>
      <c r="Y802" s="15"/>
    </row>
    <row r="803" spans="2:25" ht="14.2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P803" s="15"/>
      <c r="Q803" s="15"/>
      <c r="T803" s="15"/>
      <c r="U803" s="15"/>
      <c r="V803" s="15"/>
      <c r="W803" s="15"/>
      <c r="X803" s="15"/>
      <c r="Y803" s="15"/>
    </row>
    <row r="804" spans="2:25" ht="14.25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P804" s="15"/>
      <c r="Q804" s="15"/>
      <c r="T804" s="15"/>
      <c r="U804" s="15"/>
      <c r="V804" s="15"/>
      <c r="W804" s="15"/>
      <c r="X804" s="15"/>
      <c r="Y804" s="15"/>
    </row>
    <row r="805" spans="2:25" ht="14.25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P805" s="15"/>
      <c r="Q805" s="15"/>
      <c r="T805" s="15"/>
      <c r="U805" s="15"/>
      <c r="V805" s="15"/>
      <c r="W805" s="15"/>
      <c r="X805" s="15"/>
      <c r="Y805" s="15"/>
    </row>
    <row r="806" spans="2:25" ht="14.25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P806" s="15"/>
      <c r="Q806" s="15"/>
      <c r="T806" s="15"/>
      <c r="U806" s="15"/>
      <c r="V806" s="15"/>
      <c r="W806" s="15"/>
      <c r="X806" s="15"/>
      <c r="Y806" s="15"/>
    </row>
    <row r="807" spans="2:25" ht="14.25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P807" s="15"/>
      <c r="Q807" s="15"/>
      <c r="T807" s="15"/>
      <c r="U807" s="15"/>
      <c r="V807" s="15"/>
      <c r="W807" s="15"/>
      <c r="X807" s="15"/>
      <c r="Y807" s="15"/>
    </row>
    <row r="808" spans="2:25" ht="14.25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P808" s="15"/>
      <c r="Q808" s="15"/>
      <c r="T808" s="15"/>
      <c r="U808" s="15"/>
      <c r="V808" s="15"/>
      <c r="W808" s="15"/>
      <c r="X808" s="15"/>
      <c r="Y808" s="15"/>
    </row>
    <row r="809" spans="2:25" ht="14.25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P809" s="15"/>
      <c r="Q809" s="15"/>
      <c r="T809" s="15"/>
      <c r="U809" s="15"/>
      <c r="V809" s="15"/>
      <c r="W809" s="15"/>
      <c r="X809" s="15"/>
      <c r="Y809" s="15"/>
    </row>
    <row r="810" spans="2:25" ht="14.25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P810" s="15"/>
      <c r="Q810" s="15"/>
      <c r="T810" s="15"/>
      <c r="U810" s="15"/>
      <c r="V810" s="15"/>
      <c r="W810" s="15"/>
      <c r="X810" s="15"/>
      <c r="Y810" s="15"/>
    </row>
    <row r="811" spans="2:25" ht="14.25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P811" s="15"/>
      <c r="Q811" s="15"/>
      <c r="T811" s="15"/>
      <c r="U811" s="15"/>
      <c r="V811" s="15"/>
      <c r="W811" s="15"/>
      <c r="X811" s="15"/>
      <c r="Y811" s="15"/>
    </row>
    <row r="812" spans="2:25" ht="14.25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P812" s="15"/>
      <c r="Q812" s="15"/>
      <c r="T812" s="15"/>
      <c r="U812" s="15"/>
      <c r="V812" s="15"/>
      <c r="W812" s="15"/>
      <c r="X812" s="15"/>
      <c r="Y812" s="15"/>
    </row>
    <row r="813" spans="2:25" ht="14.2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P813" s="15"/>
      <c r="Q813" s="15"/>
      <c r="T813" s="15"/>
      <c r="U813" s="15"/>
      <c r="V813" s="15"/>
      <c r="W813" s="15"/>
      <c r="X813" s="15"/>
      <c r="Y813" s="15"/>
    </row>
    <row r="814" spans="2:25" ht="14.25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P814" s="15"/>
      <c r="Q814" s="15"/>
      <c r="T814" s="15"/>
      <c r="U814" s="15"/>
      <c r="V814" s="15"/>
      <c r="W814" s="15"/>
      <c r="X814" s="15"/>
      <c r="Y814" s="15"/>
    </row>
    <row r="815" spans="2:25" ht="14.25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P815" s="15"/>
      <c r="Q815" s="15"/>
      <c r="T815" s="15"/>
      <c r="U815" s="15"/>
      <c r="V815" s="15"/>
      <c r="W815" s="15"/>
      <c r="X815" s="15"/>
      <c r="Y815" s="15"/>
    </row>
    <row r="816" spans="2:25" ht="14.25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P816" s="15"/>
      <c r="Q816" s="15"/>
      <c r="T816" s="15"/>
      <c r="U816" s="15"/>
      <c r="V816" s="15"/>
      <c r="W816" s="15"/>
      <c r="X816" s="15"/>
      <c r="Y816" s="15"/>
    </row>
    <row r="817" spans="2:25" ht="14.25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P817" s="15"/>
      <c r="Q817" s="15"/>
      <c r="T817" s="15"/>
      <c r="U817" s="15"/>
      <c r="V817" s="15"/>
      <c r="W817" s="15"/>
      <c r="X817" s="15"/>
      <c r="Y817" s="15"/>
    </row>
    <row r="818" spans="2:25" ht="14.25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P818" s="15"/>
      <c r="Q818" s="15"/>
      <c r="T818" s="15"/>
      <c r="U818" s="15"/>
      <c r="V818" s="15"/>
      <c r="W818" s="15"/>
      <c r="X818" s="15"/>
      <c r="Y818" s="15"/>
    </row>
    <row r="819" spans="2:25" ht="14.25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P819" s="15"/>
      <c r="Q819" s="15"/>
      <c r="T819" s="15"/>
      <c r="U819" s="15"/>
      <c r="V819" s="15"/>
      <c r="W819" s="15"/>
      <c r="X819" s="15"/>
      <c r="Y819" s="15"/>
    </row>
    <row r="820" spans="2:25" ht="14.25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P820" s="15"/>
      <c r="Q820" s="15"/>
      <c r="T820" s="15"/>
      <c r="U820" s="15"/>
      <c r="V820" s="15"/>
      <c r="W820" s="15"/>
      <c r="X820" s="15"/>
      <c r="Y820" s="15"/>
    </row>
    <row r="821" spans="2:25" ht="14.25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P821" s="15"/>
      <c r="Q821" s="15"/>
      <c r="T821" s="15"/>
      <c r="U821" s="15"/>
      <c r="V821" s="15"/>
      <c r="W821" s="15"/>
      <c r="X821" s="15"/>
      <c r="Y821" s="15"/>
    </row>
    <row r="822" spans="2:25" ht="14.25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P822" s="15"/>
      <c r="Q822" s="15"/>
      <c r="T822" s="15"/>
      <c r="U822" s="15"/>
      <c r="V822" s="15"/>
      <c r="W822" s="15"/>
      <c r="X822" s="15"/>
      <c r="Y822" s="15"/>
    </row>
    <row r="823" spans="2:25" ht="14.2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P823" s="15"/>
      <c r="Q823" s="15"/>
      <c r="T823" s="15"/>
      <c r="U823" s="15"/>
      <c r="V823" s="15"/>
      <c r="W823" s="15"/>
      <c r="X823" s="15"/>
      <c r="Y823" s="15"/>
    </row>
    <row r="824" spans="2:25" ht="14.25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P824" s="15"/>
      <c r="Q824" s="15"/>
      <c r="T824" s="15"/>
      <c r="U824" s="15"/>
      <c r="V824" s="15"/>
      <c r="W824" s="15"/>
      <c r="X824" s="15"/>
      <c r="Y824" s="15"/>
    </row>
    <row r="825" spans="2:25" ht="14.25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P825" s="15"/>
      <c r="Q825" s="15"/>
      <c r="T825" s="15"/>
      <c r="U825" s="15"/>
      <c r="V825" s="15"/>
      <c r="W825" s="15"/>
      <c r="X825" s="15"/>
      <c r="Y825" s="15"/>
    </row>
    <row r="826" spans="2:25" ht="14.25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P826" s="15"/>
      <c r="Q826" s="15"/>
      <c r="T826" s="15"/>
      <c r="U826" s="15"/>
      <c r="V826" s="15"/>
      <c r="W826" s="15"/>
      <c r="X826" s="15"/>
      <c r="Y826" s="15"/>
    </row>
    <row r="827" spans="2:25" ht="14.25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P827" s="15"/>
      <c r="Q827" s="15"/>
      <c r="T827" s="15"/>
      <c r="U827" s="15"/>
      <c r="V827" s="15"/>
      <c r="W827" s="15"/>
      <c r="X827" s="15"/>
      <c r="Y827" s="15"/>
    </row>
    <row r="828" spans="2:25" ht="14.25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P828" s="15"/>
      <c r="Q828" s="15"/>
      <c r="T828" s="15"/>
      <c r="U828" s="15"/>
      <c r="V828" s="15"/>
      <c r="W828" s="15"/>
      <c r="X828" s="15"/>
      <c r="Y828" s="15"/>
    </row>
    <row r="829" spans="2:25" ht="14.25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P829" s="15"/>
      <c r="Q829" s="15"/>
      <c r="T829" s="15"/>
      <c r="U829" s="15"/>
      <c r="V829" s="15"/>
      <c r="W829" s="15"/>
      <c r="X829" s="15"/>
      <c r="Y829" s="15"/>
    </row>
    <row r="830" spans="2:25" ht="14.25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P830" s="15"/>
      <c r="Q830" s="15"/>
      <c r="T830" s="15"/>
      <c r="U830" s="15"/>
      <c r="V830" s="15"/>
      <c r="W830" s="15"/>
      <c r="X830" s="15"/>
      <c r="Y830" s="15"/>
    </row>
    <row r="831" spans="2:25" ht="14.25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P831" s="15"/>
      <c r="Q831" s="15"/>
      <c r="T831" s="15"/>
      <c r="U831" s="15"/>
      <c r="V831" s="15"/>
      <c r="W831" s="15"/>
      <c r="X831" s="15"/>
      <c r="Y831" s="15"/>
    </row>
    <row r="832" spans="2:25" ht="14.25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P832" s="15"/>
      <c r="Q832" s="15"/>
      <c r="T832" s="15"/>
      <c r="U832" s="15"/>
      <c r="V832" s="15"/>
      <c r="W832" s="15"/>
      <c r="X832" s="15"/>
      <c r="Y832" s="15"/>
    </row>
    <row r="833" spans="2:25" ht="14.2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P833" s="15"/>
      <c r="Q833" s="15"/>
      <c r="T833" s="15"/>
      <c r="U833" s="15"/>
      <c r="V833" s="15"/>
      <c r="W833" s="15"/>
      <c r="X833" s="15"/>
      <c r="Y833" s="15"/>
    </row>
    <row r="834" spans="2:25" ht="14.25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P834" s="15"/>
      <c r="Q834" s="15"/>
      <c r="T834" s="15"/>
      <c r="U834" s="15"/>
      <c r="V834" s="15"/>
      <c r="W834" s="15"/>
      <c r="X834" s="15"/>
      <c r="Y834" s="15"/>
    </row>
    <row r="835" spans="2:25" ht="14.25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P835" s="15"/>
      <c r="Q835" s="15"/>
      <c r="T835" s="15"/>
      <c r="U835" s="15"/>
      <c r="V835" s="15"/>
      <c r="W835" s="15"/>
      <c r="X835" s="15"/>
      <c r="Y835" s="15"/>
    </row>
    <row r="836" spans="2:25" ht="14.25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P836" s="15"/>
      <c r="Q836" s="15"/>
      <c r="T836" s="15"/>
      <c r="U836" s="15"/>
      <c r="V836" s="15"/>
      <c r="W836" s="15"/>
      <c r="X836" s="15"/>
      <c r="Y836" s="15"/>
    </row>
    <row r="837" spans="2:25" ht="14.25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P837" s="15"/>
      <c r="Q837" s="15"/>
      <c r="T837" s="15"/>
      <c r="U837" s="15"/>
      <c r="V837" s="15"/>
      <c r="W837" s="15"/>
      <c r="X837" s="15"/>
      <c r="Y837" s="15"/>
    </row>
    <row r="838" spans="2:25" ht="14.25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P838" s="15"/>
      <c r="Q838" s="15"/>
      <c r="T838" s="15"/>
      <c r="U838" s="15"/>
      <c r="V838" s="15"/>
      <c r="W838" s="15"/>
      <c r="X838" s="15"/>
      <c r="Y838" s="15"/>
    </row>
    <row r="839" spans="2:25" ht="14.25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P839" s="15"/>
      <c r="Q839" s="15"/>
      <c r="T839" s="15"/>
      <c r="U839" s="15"/>
      <c r="V839" s="15"/>
      <c r="W839" s="15"/>
      <c r="X839" s="15"/>
      <c r="Y839" s="15"/>
    </row>
    <row r="840" spans="2:25" ht="14.25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P840" s="15"/>
      <c r="Q840" s="15"/>
      <c r="T840" s="15"/>
      <c r="U840" s="15"/>
      <c r="V840" s="15"/>
      <c r="W840" s="15"/>
      <c r="X840" s="15"/>
      <c r="Y840" s="15"/>
    </row>
    <row r="841" spans="2:25" ht="14.25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P841" s="15"/>
      <c r="Q841" s="15"/>
      <c r="T841" s="15"/>
      <c r="U841" s="15"/>
      <c r="V841" s="15"/>
      <c r="W841" s="15"/>
      <c r="X841" s="15"/>
      <c r="Y841" s="15"/>
    </row>
    <row r="842" spans="2:25" ht="14.25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P842" s="15"/>
      <c r="Q842" s="15"/>
      <c r="T842" s="15"/>
      <c r="U842" s="15"/>
      <c r="V842" s="15"/>
      <c r="W842" s="15"/>
      <c r="X842" s="15"/>
      <c r="Y842" s="15"/>
    </row>
    <row r="843" spans="2:25" ht="14.2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P843" s="15"/>
      <c r="Q843" s="15"/>
      <c r="T843" s="15"/>
      <c r="U843" s="15"/>
      <c r="V843" s="15"/>
      <c r="W843" s="15"/>
      <c r="X843" s="15"/>
      <c r="Y843" s="15"/>
    </row>
    <row r="844" spans="2:25" ht="14.25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P844" s="15"/>
      <c r="Q844" s="15"/>
      <c r="T844" s="15"/>
      <c r="U844" s="15"/>
      <c r="V844" s="15"/>
      <c r="W844" s="15"/>
      <c r="X844" s="15"/>
      <c r="Y844" s="15"/>
    </row>
    <row r="845" spans="2:25" ht="14.25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P845" s="15"/>
      <c r="Q845" s="15"/>
      <c r="T845" s="15"/>
      <c r="U845" s="15"/>
      <c r="V845" s="15"/>
      <c r="W845" s="15"/>
      <c r="X845" s="15"/>
      <c r="Y845" s="15"/>
    </row>
    <row r="846" spans="2:25" ht="14.25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P846" s="15"/>
      <c r="Q846" s="15"/>
      <c r="T846" s="15"/>
      <c r="U846" s="15"/>
      <c r="V846" s="15"/>
      <c r="W846" s="15"/>
      <c r="X846" s="15"/>
      <c r="Y846" s="15"/>
    </row>
    <row r="847" spans="2:25" ht="14.25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P847" s="15"/>
      <c r="Q847" s="15"/>
      <c r="T847" s="15"/>
      <c r="U847" s="15"/>
      <c r="V847" s="15"/>
      <c r="W847" s="15"/>
      <c r="X847" s="15"/>
      <c r="Y847" s="15"/>
    </row>
    <row r="848" spans="2:25" ht="14.25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P848" s="15"/>
      <c r="Q848" s="15"/>
      <c r="T848" s="15"/>
      <c r="U848" s="15"/>
      <c r="V848" s="15"/>
      <c r="W848" s="15"/>
      <c r="X848" s="15"/>
      <c r="Y848" s="15"/>
    </row>
    <row r="849" spans="2:25" ht="14.25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P849" s="15"/>
      <c r="Q849" s="15"/>
      <c r="T849" s="15"/>
      <c r="U849" s="15"/>
      <c r="V849" s="15"/>
      <c r="W849" s="15"/>
      <c r="X849" s="15"/>
      <c r="Y849" s="15"/>
    </row>
    <row r="850" spans="2:25" ht="14.25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P850" s="15"/>
      <c r="Q850" s="15"/>
      <c r="T850" s="15"/>
      <c r="U850" s="15"/>
      <c r="V850" s="15"/>
      <c r="W850" s="15"/>
      <c r="X850" s="15"/>
      <c r="Y850" s="15"/>
    </row>
    <row r="851" spans="2:25" ht="14.25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P851" s="15"/>
      <c r="Q851" s="15"/>
      <c r="T851" s="15"/>
      <c r="U851" s="15"/>
      <c r="V851" s="15"/>
      <c r="W851" s="15"/>
      <c r="X851" s="15"/>
      <c r="Y851" s="15"/>
    </row>
    <row r="852" spans="2:25" ht="14.25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P852" s="15"/>
      <c r="Q852" s="15"/>
      <c r="T852" s="15"/>
      <c r="U852" s="15"/>
      <c r="V852" s="15"/>
      <c r="W852" s="15"/>
      <c r="X852" s="15"/>
      <c r="Y852" s="15"/>
    </row>
    <row r="853" spans="2:25" ht="14.2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P853" s="15"/>
      <c r="Q853" s="15"/>
      <c r="T853" s="15"/>
      <c r="U853" s="15"/>
      <c r="V853" s="15"/>
      <c r="W853" s="15"/>
      <c r="X853" s="15"/>
      <c r="Y853" s="15"/>
    </row>
    <row r="854" spans="2:25" ht="14.25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P854" s="15"/>
      <c r="Q854" s="15"/>
      <c r="T854" s="15"/>
      <c r="U854" s="15"/>
      <c r="V854" s="15"/>
      <c r="W854" s="15"/>
      <c r="X854" s="15"/>
      <c r="Y854" s="15"/>
    </row>
    <row r="855" spans="2:25" ht="14.25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P855" s="15"/>
      <c r="Q855" s="15"/>
      <c r="T855" s="15"/>
      <c r="U855" s="15"/>
      <c r="V855" s="15"/>
      <c r="W855" s="15"/>
      <c r="X855" s="15"/>
      <c r="Y855" s="15"/>
    </row>
    <row r="856" spans="2:25" ht="14.25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P856" s="15"/>
      <c r="Q856" s="15"/>
      <c r="T856" s="15"/>
      <c r="U856" s="15"/>
      <c r="V856" s="15"/>
      <c r="W856" s="15"/>
      <c r="X856" s="15"/>
      <c r="Y856" s="15"/>
    </row>
    <row r="857" spans="2:25" ht="14.25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P857" s="15"/>
      <c r="Q857" s="15"/>
      <c r="T857" s="15"/>
      <c r="U857" s="15"/>
      <c r="V857" s="15"/>
      <c r="W857" s="15"/>
      <c r="X857" s="15"/>
      <c r="Y857" s="15"/>
    </row>
    <row r="858" spans="2:25" ht="14.25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P858" s="15"/>
      <c r="Q858" s="15"/>
      <c r="T858" s="15"/>
      <c r="U858" s="15"/>
      <c r="V858" s="15"/>
      <c r="W858" s="15"/>
      <c r="X858" s="15"/>
      <c r="Y858" s="15"/>
    </row>
    <row r="859" spans="2:25" ht="14.25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P859" s="15"/>
      <c r="Q859" s="15"/>
      <c r="T859" s="15"/>
      <c r="U859" s="15"/>
      <c r="V859" s="15"/>
      <c r="W859" s="15"/>
      <c r="X859" s="15"/>
      <c r="Y859" s="15"/>
    </row>
    <row r="860" spans="2:25" ht="14.25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P860" s="15"/>
      <c r="Q860" s="15"/>
      <c r="T860" s="15"/>
      <c r="U860" s="15"/>
      <c r="V860" s="15"/>
      <c r="W860" s="15"/>
      <c r="X860" s="15"/>
      <c r="Y860" s="15"/>
    </row>
    <row r="861" spans="2:25" ht="14.25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P861" s="15"/>
      <c r="Q861" s="15"/>
      <c r="T861" s="15"/>
      <c r="U861" s="15"/>
      <c r="V861" s="15"/>
      <c r="W861" s="15"/>
      <c r="X861" s="15"/>
      <c r="Y861" s="15"/>
    </row>
    <row r="862" spans="2:25" ht="14.25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P862" s="15"/>
      <c r="Q862" s="15"/>
      <c r="T862" s="15"/>
      <c r="U862" s="15"/>
      <c r="V862" s="15"/>
      <c r="W862" s="15"/>
      <c r="X862" s="15"/>
      <c r="Y862" s="15"/>
    </row>
    <row r="863" spans="2:25" ht="14.2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P863" s="15"/>
      <c r="Q863" s="15"/>
      <c r="T863" s="15"/>
      <c r="U863" s="15"/>
      <c r="V863" s="15"/>
      <c r="W863" s="15"/>
      <c r="X863" s="15"/>
      <c r="Y863" s="15"/>
    </row>
    <row r="864" spans="2:25" ht="14.25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P864" s="15"/>
      <c r="Q864" s="15"/>
      <c r="T864" s="15"/>
      <c r="U864" s="15"/>
      <c r="V864" s="15"/>
      <c r="W864" s="15"/>
      <c r="X864" s="15"/>
      <c r="Y864" s="15"/>
    </row>
  </sheetData>
  <sheetProtection/>
  <printOptions/>
  <pageMargins left="0.5" right="0.25" top="0.75" bottom="0.5" header="0" footer="0"/>
  <pageSetup fitToWidth="2" horizontalDpi="600" verticalDpi="600" orientation="portrait" scale="65" r:id="rId3"/>
  <headerFooter alignWithMargins="0">
    <oddHeader>&amp;RSTATEMENT AG-3
PAGE &amp;P OF 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72"/>
  <sheetViews>
    <sheetView showOutlineSymbols="0" zoomScale="70" zoomScaleNormal="7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B5" sqref="B5"/>
    </sheetView>
  </sheetViews>
  <sheetFormatPr defaultColWidth="12.7109375" defaultRowHeight="15"/>
  <cols>
    <col min="1" max="1" width="4.7109375" style="23" customWidth="1"/>
    <col min="2" max="2" width="56.140625" style="24" customWidth="1"/>
    <col min="3" max="7" width="15.7109375" style="24" customWidth="1"/>
    <col min="8" max="8" width="2.7109375" style="24" customWidth="1"/>
    <col min="9" max="11" width="15.7109375" style="24" customWidth="1"/>
    <col min="12" max="12" width="2.7109375" style="24" customWidth="1"/>
    <col min="13" max="15" width="15.7109375" style="24" customWidth="1"/>
    <col min="16" max="16" width="2.7109375" style="4" customWidth="1"/>
    <col min="17" max="19" width="15.7109375" style="24" customWidth="1"/>
    <col min="20" max="16384" width="12.7109375" style="24" customWidth="1"/>
  </cols>
  <sheetData>
    <row r="1" spans="2:19" ht="14.25">
      <c r="B1" s="59" t="s">
        <v>414</v>
      </c>
      <c r="C1" s="60" t="s">
        <v>67</v>
      </c>
      <c r="F1" s="4"/>
      <c r="G1" s="25"/>
      <c r="H1" s="25"/>
      <c r="I1" s="25"/>
      <c r="J1" s="25"/>
      <c r="K1" s="25"/>
      <c r="L1" s="25"/>
      <c r="S1" s="25"/>
    </row>
    <row r="2" spans="2:19" ht="14.25">
      <c r="B2" s="59" t="s">
        <v>1</v>
      </c>
      <c r="G2" s="25"/>
      <c r="H2" s="25"/>
      <c r="I2" s="25"/>
      <c r="J2" s="25"/>
      <c r="K2" s="25"/>
      <c r="L2" s="25"/>
      <c r="S2" s="25"/>
    </row>
    <row r="3" ht="14.25">
      <c r="B3" s="59" t="s">
        <v>579</v>
      </c>
    </row>
    <row r="4" spans="7:12" ht="14.25">
      <c r="G4" s="61" t="s">
        <v>2</v>
      </c>
      <c r="H4" s="26"/>
      <c r="I4" s="26"/>
      <c r="J4" s="26"/>
      <c r="K4" s="26"/>
      <c r="L4" s="26"/>
    </row>
    <row r="5" ht="14.25">
      <c r="B5" s="60"/>
    </row>
    <row r="8" spans="2:19" ht="14.25">
      <c r="B8" s="62" t="s">
        <v>3</v>
      </c>
      <c r="C8" s="62" t="s">
        <v>4</v>
      </c>
      <c r="D8" s="62" t="s">
        <v>5</v>
      </c>
      <c r="E8" s="62" t="s">
        <v>6</v>
      </c>
      <c r="F8" s="62" t="s">
        <v>7</v>
      </c>
      <c r="G8" s="62" t="s">
        <v>8</v>
      </c>
      <c r="H8" s="62"/>
      <c r="I8" s="63" t="s">
        <v>9</v>
      </c>
      <c r="J8" s="63" t="s">
        <v>10</v>
      </c>
      <c r="K8" s="63" t="s">
        <v>11</v>
      </c>
      <c r="L8" s="62"/>
      <c r="M8" s="63" t="s">
        <v>12</v>
      </c>
      <c r="N8" s="63" t="s">
        <v>13</v>
      </c>
      <c r="O8" s="63" t="s">
        <v>14</v>
      </c>
      <c r="Q8" s="63" t="s">
        <v>15</v>
      </c>
      <c r="R8" s="63" t="s">
        <v>16</v>
      </c>
      <c r="S8" s="63" t="s">
        <v>17</v>
      </c>
    </row>
    <row r="10" spans="3:19" ht="14.25">
      <c r="C10" s="28" t="s">
        <v>18</v>
      </c>
      <c r="D10" s="28"/>
      <c r="E10" s="64" t="s">
        <v>19</v>
      </c>
      <c r="F10" s="28"/>
      <c r="G10" s="30" t="s">
        <v>20</v>
      </c>
      <c r="H10" s="30"/>
      <c r="I10" s="31" t="s">
        <v>21</v>
      </c>
      <c r="J10" s="28"/>
      <c r="K10" s="28"/>
      <c r="L10" s="30"/>
      <c r="M10" s="31" t="s">
        <v>530</v>
      </c>
      <c r="N10" s="28"/>
      <c r="O10" s="28"/>
      <c r="Q10" s="31" t="s">
        <v>580</v>
      </c>
      <c r="R10" s="28"/>
      <c r="S10" s="28"/>
    </row>
    <row r="11" spans="3:19" ht="14.25">
      <c r="C11" s="33"/>
      <c r="D11" s="33"/>
      <c r="G11" s="30" t="s">
        <v>22</v>
      </c>
      <c r="H11" s="30"/>
      <c r="I11" s="33"/>
      <c r="J11" s="33"/>
      <c r="K11" s="33"/>
      <c r="L11" s="30"/>
      <c r="M11" s="33"/>
      <c r="N11" s="33"/>
      <c r="O11" s="33"/>
      <c r="Q11" s="33"/>
      <c r="R11" s="33"/>
      <c r="S11" s="33"/>
    </row>
    <row r="12" spans="3:12" ht="14.25">
      <c r="C12" s="30" t="s">
        <v>23</v>
      </c>
      <c r="D12" s="30" t="s">
        <v>23</v>
      </c>
      <c r="E12" s="30" t="s">
        <v>23</v>
      </c>
      <c r="F12" s="30" t="s">
        <v>23</v>
      </c>
      <c r="G12" s="30" t="s">
        <v>24</v>
      </c>
      <c r="H12" s="30"/>
      <c r="L12" s="30"/>
    </row>
    <row r="13" spans="2:19" ht="14.25">
      <c r="B13" s="62" t="s">
        <v>25</v>
      </c>
      <c r="C13" s="62" t="s">
        <v>531</v>
      </c>
      <c r="D13" s="62" t="s">
        <v>581</v>
      </c>
      <c r="E13" s="62" t="str">
        <f>C13</f>
        <v>OF 12-31-13</v>
      </c>
      <c r="F13" s="62" t="str">
        <f>D13</f>
        <v>OF 12-31-14</v>
      </c>
      <c r="G13" s="62" t="s">
        <v>26</v>
      </c>
      <c r="H13" s="62"/>
      <c r="I13" s="62" t="s">
        <v>27</v>
      </c>
      <c r="J13" s="62" t="s">
        <v>28</v>
      </c>
      <c r="K13" s="62" t="s">
        <v>29</v>
      </c>
      <c r="L13" s="62"/>
      <c r="M13" s="62" t="s">
        <v>27</v>
      </c>
      <c r="N13" s="62" t="s">
        <v>28</v>
      </c>
      <c r="O13" s="62" t="s">
        <v>29</v>
      </c>
      <c r="Q13" s="62" t="s">
        <v>27</v>
      </c>
      <c r="R13" s="62" t="s">
        <v>28</v>
      </c>
      <c r="S13" s="62" t="s">
        <v>29</v>
      </c>
    </row>
    <row r="14" spans="1:19" ht="14.25">
      <c r="A14" s="2"/>
      <c r="B14" s="4"/>
      <c r="C14" s="65" t="s">
        <v>67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Q14" s="4"/>
      <c r="R14" s="4"/>
      <c r="S14" s="4"/>
    </row>
    <row r="15" spans="1:19" ht="14.25">
      <c r="A15" s="2"/>
      <c r="B15" s="14" t="s">
        <v>30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4.25">
      <c r="A16" s="2"/>
      <c r="B16" s="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20" ht="14.25">
      <c r="A17" s="17">
        <v>1</v>
      </c>
      <c r="B17" s="66" t="s">
        <v>416</v>
      </c>
      <c r="C17" s="15">
        <f>SUM(M17:O17)</f>
        <v>0</v>
      </c>
      <c r="D17" s="15">
        <f>SUM(Q17:S17)</f>
        <v>0</v>
      </c>
      <c r="E17" s="15"/>
      <c r="F17" s="15"/>
      <c r="G17" s="15">
        <f>ROUND(SUM(C17:F17)/2,0)</f>
        <v>0</v>
      </c>
      <c r="H17" s="15"/>
      <c r="I17" s="15">
        <f aca="true" t="shared" si="0" ref="I17:K18">(M17+Q17)/2</f>
        <v>0</v>
      </c>
      <c r="J17" s="15">
        <f t="shared" si="0"/>
        <v>0</v>
      </c>
      <c r="K17" s="15">
        <f t="shared" si="0"/>
        <v>0</v>
      </c>
      <c r="L17" s="15"/>
      <c r="M17" s="81">
        <v>0</v>
      </c>
      <c r="N17" s="81">
        <v>0</v>
      </c>
      <c r="O17" s="81">
        <v>0</v>
      </c>
      <c r="P17" s="15"/>
      <c r="Q17" s="81">
        <v>0</v>
      </c>
      <c r="R17" s="81">
        <v>0</v>
      </c>
      <c r="S17" s="81">
        <v>0</v>
      </c>
      <c r="T17" s="67"/>
    </row>
    <row r="18" spans="1:19" ht="14.25">
      <c r="A18" s="17">
        <f aca="true" t="shared" si="1" ref="A18:A81">A17+1</f>
        <v>2</v>
      </c>
      <c r="B18" s="35" t="s">
        <v>417</v>
      </c>
      <c r="C18" s="15">
        <f>SUM(M18:O18)</f>
        <v>0</v>
      </c>
      <c r="D18" s="15">
        <f>SUM(Q18:S18)</f>
        <v>0</v>
      </c>
      <c r="E18" s="15"/>
      <c r="F18" s="15"/>
      <c r="G18" s="15">
        <f>ROUND(SUM(C18:F18)/2,0)</f>
        <v>0</v>
      </c>
      <c r="H18" s="15"/>
      <c r="I18" s="15">
        <f t="shared" si="0"/>
        <v>0</v>
      </c>
      <c r="J18" s="15">
        <f t="shared" si="0"/>
        <v>0</v>
      </c>
      <c r="K18" s="15">
        <f t="shared" si="0"/>
        <v>0</v>
      </c>
      <c r="L18" s="15"/>
      <c r="M18" s="81">
        <v>0</v>
      </c>
      <c r="N18" s="81">
        <v>0</v>
      </c>
      <c r="O18" s="81">
        <v>0</v>
      </c>
      <c r="P18" s="15"/>
      <c r="Q18" s="81">
        <v>0</v>
      </c>
      <c r="R18" s="81">
        <v>0</v>
      </c>
      <c r="S18" s="81">
        <v>0</v>
      </c>
    </row>
    <row r="19" spans="1:19" ht="14.25">
      <c r="A19" s="17">
        <f t="shared" si="1"/>
        <v>3</v>
      </c>
      <c r="B19" s="35" t="s">
        <v>32</v>
      </c>
      <c r="C19" s="15">
        <v>0</v>
      </c>
      <c r="D19" s="15">
        <v>0</v>
      </c>
      <c r="E19" s="15">
        <f aca="true" t="shared" si="2" ref="E19:F21">-C19</f>
        <v>0</v>
      </c>
      <c r="F19" s="15">
        <f t="shared" si="2"/>
        <v>0</v>
      </c>
      <c r="G19" s="15">
        <f>ROUND(SUM(C19:F19)/2,0)</f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4.25">
      <c r="A20" s="17">
        <f t="shared" si="1"/>
        <v>4</v>
      </c>
      <c r="B20" s="35" t="s">
        <v>33</v>
      </c>
      <c r="C20" s="15">
        <v>0</v>
      </c>
      <c r="D20" s="15">
        <v>0</v>
      </c>
      <c r="E20" s="15">
        <f t="shared" si="2"/>
        <v>0</v>
      </c>
      <c r="F20" s="15">
        <f t="shared" si="2"/>
        <v>0</v>
      </c>
      <c r="G20" s="15">
        <f>ROUND(SUM(C20:F20)/2,0)</f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28" ht="14.25">
      <c r="A21" s="17">
        <f t="shared" si="1"/>
        <v>5</v>
      </c>
      <c r="B21" s="35" t="s">
        <v>34</v>
      </c>
      <c r="C21" s="15">
        <v>0</v>
      </c>
      <c r="D21" s="15">
        <v>0</v>
      </c>
      <c r="E21" s="15">
        <f t="shared" si="2"/>
        <v>0</v>
      </c>
      <c r="F21" s="15">
        <f t="shared" si="2"/>
        <v>0</v>
      </c>
      <c r="G21" s="15">
        <f>ROUND(SUM(C21:F21)/2,0)</f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4.25">
      <c r="A22" s="17">
        <f t="shared" si="1"/>
        <v>6</v>
      </c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19" ht="15" thickBot="1">
      <c r="A23" s="17">
        <f t="shared" si="1"/>
        <v>7</v>
      </c>
      <c r="B23" s="14" t="s">
        <v>35</v>
      </c>
      <c r="C23" s="18">
        <f>SUM(C17:C22)</f>
        <v>0</v>
      </c>
      <c r="D23" s="18">
        <f>SUM(D17:D22)</f>
        <v>0</v>
      </c>
      <c r="E23" s="18">
        <f>SUM(E17:E22)</f>
        <v>0</v>
      </c>
      <c r="F23" s="18">
        <f>SUM(F17:F22)</f>
        <v>0</v>
      </c>
      <c r="G23" s="18">
        <f>SUM(G17:G22)</f>
        <v>0</v>
      </c>
      <c r="H23" s="18"/>
      <c r="I23" s="18">
        <f>SUM(I17:I22)</f>
        <v>0</v>
      </c>
      <c r="J23" s="18">
        <f>SUM(J17:J22)</f>
        <v>0</v>
      </c>
      <c r="K23" s="18">
        <f>SUM(K17:K22)</f>
        <v>0</v>
      </c>
      <c r="L23" s="18"/>
      <c r="M23" s="18">
        <f>SUM(M17:M22)</f>
        <v>0</v>
      </c>
      <c r="N23" s="18">
        <f>SUM(N17:N22)</f>
        <v>0</v>
      </c>
      <c r="O23" s="18">
        <f>SUM(O17:O22)</f>
        <v>0</v>
      </c>
      <c r="P23" s="15"/>
      <c r="Q23" s="18">
        <f>SUM(Q17:Q22)</f>
        <v>0</v>
      </c>
      <c r="R23" s="18">
        <f>SUM(R17:R22)</f>
        <v>0</v>
      </c>
      <c r="S23" s="18">
        <f>SUM(S17:S22)</f>
        <v>0</v>
      </c>
    </row>
    <row r="24" spans="1:19" ht="15" thickTop="1">
      <c r="A24" s="17">
        <f t="shared" si="1"/>
        <v>8</v>
      </c>
      <c r="B24" s="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9"/>
      <c r="R24" s="19"/>
      <c r="S24" s="19"/>
    </row>
    <row r="25" spans="1:19" ht="14.25">
      <c r="A25" s="17">
        <f t="shared" si="1"/>
        <v>9</v>
      </c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4.25">
      <c r="A26" s="17">
        <f t="shared" si="1"/>
        <v>10</v>
      </c>
      <c r="B26" s="5" t="s">
        <v>36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68"/>
      <c r="N26" s="15"/>
      <c r="O26" s="68"/>
      <c r="P26" s="15"/>
      <c r="Q26" s="68"/>
      <c r="R26" s="68"/>
      <c r="S26" s="68"/>
    </row>
    <row r="27" spans="1:19" ht="14.25">
      <c r="A27" s="17">
        <f t="shared" si="1"/>
        <v>11</v>
      </c>
      <c r="B27" s="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4.25">
      <c r="A28" s="17">
        <f t="shared" si="1"/>
        <v>12</v>
      </c>
      <c r="B28" s="35" t="s">
        <v>370</v>
      </c>
      <c r="C28" s="15">
        <f aca="true" t="shared" si="3" ref="C28:C57">SUM(M28:O28)</f>
        <v>-64.75</v>
      </c>
      <c r="D28" s="15">
        <f aca="true" t="shared" si="4" ref="D28:D57">SUM(Q28:S28)</f>
        <v>-64.75</v>
      </c>
      <c r="E28" s="15"/>
      <c r="F28" s="15"/>
      <c r="G28" s="15">
        <f aca="true" t="shared" si="5" ref="G28:G60">ROUND(SUM(C28:F28)/2,0)</f>
        <v>-65</v>
      </c>
      <c r="H28" s="15"/>
      <c r="I28" s="15">
        <f aca="true" t="shared" si="6" ref="I28:K57">(M28+Q28)/2</f>
        <v>0</v>
      </c>
      <c r="J28" s="15">
        <f t="shared" si="6"/>
        <v>-23.85</v>
      </c>
      <c r="K28" s="15">
        <f t="shared" si="6"/>
        <v>-40.9</v>
      </c>
      <c r="L28" s="15"/>
      <c r="M28" s="82">
        <v>0</v>
      </c>
      <c r="N28" s="82">
        <v>-23.85</v>
      </c>
      <c r="O28" s="82">
        <v>-40.9</v>
      </c>
      <c r="P28" s="15"/>
      <c r="Q28" s="82">
        <v>0</v>
      </c>
      <c r="R28" s="82">
        <v>-23.85</v>
      </c>
      <c r="S28" s="82">
        <v>-40.9</v>
      </c>
    </row>
    <row r="29" spans="1:19" ht="14.25">
      <c r="A29" s="17">
        <f t="shared" si="1"/>
        <v>13</v>
      </c>
      <c r="B29" s="35" t="s">
        <v>37</v>
      </c>
      <c r="C29" s="15">
        <f t="shared" si="3"/>
        <v>615871112.19</v>
      </c>
      <c r="D29" s="15">
        <f t="shared" si="4"/>
        <v>687745453.65</v>
      </c>
      <c r="E29" s="20" t="s">
        <v>67</v>
      </c>
      <c r="F29" s="15"/>
      <c r="G29" s="15">
        <f t="shared" si="5"/>
        <v>651808283</v>
      </c>
      <c r="H29" s="15"/>
      <c r="I29" s="15">
        <f t="shared" si="6"/>
        <v>0</v>
      </c>
      <c r="J29" s="15">
        <f t="shared" si="6"/>
        <v>226992871.26</v>
      </c>
      <c r="K29" s="15">
        <f t="shared" si="6"/>
        <v>424815411.65999997</v>
      </c>
      <c r="L29" s="15"/>
      <c r="M29" s="82">
        <v>0</v>
      </c>
      <c r="N29" s="82">
        <f>(-578.63+989+82.51+0.26+4712.62+544.73+8111.94+491.66+12224.41+211325034.8+671161.32+45607.25-4692)+1230483.3</f>
        <v>213294173.17000002</v>
      </c>
      <c r="O29" s="82">
        <f>(5543.08-4006+597.07+0.01+26308.8-2468.43+68512.38+0.19+2701.73+54052.99+400354143.6+69753.95)+2001799.65</f>
        <v>402576939.02</v>
      </c>
      <c r="P29" s="15"/>
      <c r="Q29" s="82">
        <v>0</v>
      </c>
      <c r="R29" s="82">
        <v>240691569.35</v>
      </c>
      <c r="S29" s="82">
        <v>447053884.29999995</v>
      </c>
    </row>
    <row r="30" spans="1:19" ht="14.25">
      <c r="A30" s="17">
        <f t="shared" si="1"/>
        <v>14</v>
      </c>
      <c r="B30" s="14" t="s">
        <v>217</v>
      </c>
      <c r="C30" s="15">
        <f t="shared" si="3"/>
        <v>798923.2</v>
      </c>
      <c r="D30" s="15">
        <f t="shared" si="4"/>
        <v>603885.05</v>
      </c>
      <c r="E30" s="15"/>
      <c r="F30" s="15"/>
      <c r="G30" s="15">
        <f t="shared" si="5"/>
        <v>701404</v>
      </c>
      <c r="H30" s="15"/>
      <c r="I30" s="15">
        <f t="shared" si="6"/>
        <v>0</v>
      </c>
      <c r="J30" s="15">
        <f t="shared" si="6"/>
        <v>205230.865</v>
      </c>
      <c r="K30" s="15">
        <f t="shared" si="6"/>
        <v>496173.26</v>
      </c>
      <c r="L30" s="15"/>
      <c r="M30" s="82">
        <v>0</v>
      </c>
      <c r="N30" s="82">
        <v>231823.13</v>
      </c>
      <c r="O30" s="82">
        <v>567100.07</v>
      </c>
      <c r="P30" s="15"/>
      <c r="Q30" s="82">
        <v>0</v>
      </c>
      <c r="R30" s="82">
        <v>178638.6</v>
      </c>
      <c r="S30" s="82">
        <v>425246.45</v>
      </c>
    </row>
    <row r="31" spans="1:19" ht="14.25">
      <c r="A31" s="17">
        <f t="shared" si="1"/>
        <v>15</v>
      </c>
      <c r="B31" s="14" t="s">
        <v>218</v>
      </c>
      <c r="C31" s="15">
        <f t="shared" si="3"/>
        <v>998016.58</v>
      </c>
      <c r="D31" s="15">
        <f t="shared" si="4"/>
        <v>794767.02</v>
      </c>
      <c r="E31" s="15"/>
      <c r="F31" s="15"/>
      <c r="G31" s="15">
        <f t="shared" si="5"/>
        <v>896392</v>
      </c>
      <c r="H31" s="15"/>
      <c r="I31" s="15">
        <f t="shared" si="6"/>
        <v>0</v>
      </c>
      <c r="J31" s="15">
        <f t="shared" si="6"/>
        <v>0</v>
      </c>
      <c r="K31" s="15">
        <f t="shared" si="6"/>
        <v>896391.8</v>
      </c>
      <c r="L31" s="15"/>
      <c r="M31" s="82">
        <v>0</v>
      </c>
      <c r="N31" s="82">
        <v>0</v>
      </c>
      <c r="O31" s="82">
        <v>998016.58</v>
      </c>
      <c r="P31" s="15"/>
      <c r="Q31" s="82">
        <v>0</v>
      </c>
      <c r="R31" s="82">
        <v>0</v>
      </c>
      <c r="S31" s="82">
        <v>794767.02</v>
      </c>
    </row>
    <row r="32" spans="1:19" ht="14.25">
      <c r="A32" s="17">
        <f t="shared" si="1"/>
        <v>16</v>
      </c>
      <c r="B32" s="14" t="s">
        <v>219</v>
      </c>
      <c r="C32" s="15">
        <f t="shared" si="3"/>
        <v>238937.91</v>
      </c>
      <c r="D32" s="15">
        <f t="shared" si="4"/>
        <v>177068.71</v>
      </c>
      <c r="E32" s="15"/>
      <c r="F32" s="15"/>
      <c r="G32" s="15">
        <f t="shared" si="5"/>
        <v>208003</v>
      </c>
      <c r="H32" s="15"/>
      <c r="I32" s="15">
        <f t="shared" si="6"/>
        <v>0</v>
      </c>
      <c r="J32" s="15">
        <f t="shared" si="6"/>
        <v>208003.31</v>
      </c>
      <c r="K32" s="15">
        <f t="shared" si="6"/>
        <v>0</v>
      </c>
      <c r="L32" s="15"/>
      <c r="M32" s="82">
        <v>0</v>
      </c>
      <c r="N32" s="82">
        <v>238937.91</v>
      </c>
      <c r="O32" s="82">
        <v>0</v>
      </c>
      <c r="P32" s="15"/>
      <c r="Q32" s="82">
        <v>0</v>
      </c>
      <c r="R32" s="82">
        <v>177068.71</v>
      </c>
      <c r="S32" s="82">
        <v>0</v>
      </c>
    </row>
    <row r="33" spans="1:19" ht="14.25">
      <c r="A33" s="17">
        <f t="shared" si="1"/>
        <v>17</v>
      </c>
      <c r="B33" s="14" t="s">
        <v>39</v>
      </c>
      <c r="C33" s="15">
        <f t="shared" si="3"/>
        <v>469205.8</v>
      </c>
      <c r="D33" s="15">
        <f t="shared" si="4"/>
        <v>511961.8</v>
      </c>
      <c r="E33" s="15"/>
      <c r="F33" s="15"/>
      <c r="G33" s="15">
        <f>ROUND(SUM(C33:F33)/2,0)</f>
        <v>490584</v>
      </c>
      <c r="H33" s="15"/>
      <c r="I33" s="15">
        <f t="shared" si="6"/>
        <v>0</v>
      </c>
      <c r="J33" s="15">
        <f t="shared" si="6"/>
        <v>21378</v>
      </c>
      <c r="K33" s="15">
        <f t="shared" si="6"/>
        <v>469205.8</v>
      </c>
      <c r="L33" s="15"/>
      <c r="M33" s="82">
        <v>0</v>
      </c>
      <c r="N33" s="82">
        <v>0</v>
      </c>
      <c r="O33" s="82">
        <v>469205.8</v>
      </c>
      <c r="P33" s="15"/>
      <c r="Q33" s="82">
        <v>0</v>
      </c>
      <c r="R33" s="82">
        <v>42756</v>
      </c>
      <c r="S33" s="82">
        <v>469205.8</v>
      </c>
    </row>
    <row r="34" spans="1:19" ht="14.25">
      <c r="A34" s="17">
        <f t="shared" si="1"/>
        <v>18</v>
      </c>
      <c r="B34" s="14" t="s">
        <v>418</v>
      </c>
      <c r="C34" s="15">
        <f t="shared" si="3"/>
        <v>0</v>
      </c>
      <c r="D34" s="15">
        <f t="shared" si="4"/>
        <v>0</v>
      </c>
      <c r="E34" s="15"/>
      <c r="F34" s="15"/>
      <c r="G34" s="15">
        <f>ROUND(SUM(C34:F34)/2,0)</f>
        <v>0</v>
      </c>
      <c r="H34" s="15"/>
      <c r="I34" s="15">
        <f t="shared" si="6"/>
        <v>0</v>
      </c>
      <c r="J34" s="15">
        <f t="shared" si="6"/>
        <v>0</v>
      </c>
      <c r="K34" s="15">
        <f t="shared" si="6"/>
        <v>0</v>
      </c>
      <c r="L34" s="15"/>
      <c r="M34" s="82">
        <v>0</v>
      </c>
      <c r="N34" s="82">
        <v>0</v>
      </c>
      <c r="O34" s="82">
        <v>0</v>
      </c>
      <c r="P34" s="15"/>
      <c r="Q34" s="82">
        <v>0</v>
      </c>
      <c r="R34" s="82">
        <v>0</v>
      </c>
      <c r="S34" s="82">
        <v>0</v>
      </c>
    </row>
    <row r="35" spans="1:19" ht="14.25">
      <c r="A35" s="17">
        <f t="shared" si="1"/>
        <v>19</v>
      </c>
      <c r="B35" s="35" t="s">
        <v>220</v>
      </c>
      <c r="C35" s="15">
        <f t="shared" si="3"/>
        <v>509252.38</v>
      </c>
      <c r="D35" s="15">
        <f t="shared" si="4"/>
        <v>546037</v>
      </c>
      <c r="E35" s="15"/>
      <c r="F35" s="15"/>
      <c r="G35" s="15">
        <f t="shared" si="5"/>
        <v>527645</v>
      </c>
      <c r="H35" s="15"/>
      <c r="I35" s="15">
        <f t="shared" si="6"/>
        <v>0</v>
      </c>
      <c r="J35" s="15">
        <f t="shared" si="6"/>
        <v>9297.44</v>
      </c>
      <c r="K35" s="15">
        <f t="shared" si="6"/>
        <v>518347.25</v>
      </c>
      <c r="L35" s="15"/>
      <c r="M35" s="82">
        <v>0</v>
      </c>
      <c r="N35" s="82">
        <v>8962.84</v>
      </c>
      <c r="O35" s="82">
        <v>500289.54</v>
      </c>
      <c r="P35" s="15"/>
      <c r="Q35" s="82">
        <v>0</v>
      </c>
      <c r="R35" s="82">
        <v>9632.04</v>
      </c>
      <c r="S35" s="82">
        <v>536404.96</v>
      </c>
    </row>
    <row r="36" spans="1:19" ht="14.25">
      <c r="A36" s="17">
        <f t="shared" si="1"/>
        <v>20</v>
      </c>
      <c r="B36" s="35" t="s">
        <v>419</v>
      </c>
      <c r="C36" s="15">
        <f t="shared" si="3"/>
        <v>0</v>
      </c>
      <c r="D36" s="15">
        <f t="shared" si="4"/>
        <v>0</v>
      </c>
      <c r="E36" s="15"/>
      <c r="F36" s="15"/>
      <c r="G36" s="15">
        <f t="shared" si="5"/>
        <v>0</v>
      </c>
      <c r="H36" s="15"/>
      <c r="I36" s="15">
        <f t="shared" si="6"/>
        <v>0</v>
      </c>
      <c r="J36" s="15">
        <f t="shared" si="6"/>
        <v>0</v>
      </c>
      <c r="K36" s="15">
        <f t="shared" si="6"/>
        <v>0</v>
      </c>
      <c r="L36" s="15"/>
      <c r="M36" s="82">
        <v>0</v>
      </c>
      <c r="N36" s="82">
        <v>0</v>
      </c>
      <c r="O36" s="82">
        <v>0</v>
      </c>
      <c r="P36" s="15"/>
      <c r="Q36" s="82">
        <v>0</v>
      </c>
      <c r="R36" s="82">
        <v>0</v>
      </c>
      <c r="S36" s="82">
        <v>0</v>
      </c>
    </row>
    <row r="37" spans="1:19" ht="14.25">
      <c r="A37" s="17">
        <f t="shared" si="1"/>
        <v>21</v>
      </c>
      <c r="B37" s="66" t="s">
        <v>42</v>
      </c>
      <c r="C37" s="15">
        <f t="shared" si="3"/>
        <v>48374749.79</v>
      </c>
      <c r="D37" s="15">
        <f t="shared" si="4"/>
        <v>53152292.489999995</v>
      </c>
      <c r="E37" s="15"/>
      <c r="F37" s="15"/>
      <c r="G37" s="15">
        <f t="shared" si="5"/>
        <v>50763521</v>
      </c>
      <c r="H37" s="15"/>
      <c r="I37" s="15">
        <f t="shared" si="6"/>
        <v>0</v>
      </c>
      <c r="J37" s="15">
        <f t="shared" si="6"/>
        <v>9791158.524999999</v>
      </c>
      <c r="K37" s="15">
        <f t="shared" si="6"/>
        <v>40972362.614999995</v>
      </c>
      <c r="L37" s="15"/>
      <c r="M37" s="82">
        <v>0</v>
      </c>
      <c r="N37" s="82">
        <f>14909995.1-5131181</f>
        <v>9778814.1</v>
      </c>
      <c r="O37" s="82">
        <f>53606250.69-15010315</f>
        <v>38595935.69</v>
      </c>
      <c r="P37" s="15"/>
      <c r="Q37" s="82">
        <v>0</v>
      </c>
      <c r="R37" s="82">
        <v>9803502.95</v>
      </c>
      <c r="S37" s="82">
        <v>43348789.54</v>
      </c>
    </row>
    <row r="38" spans="1:19" ht="14.25">
      <c r="A38" s="17">
        <f t="shared" si="1"/>
        <v>22</v>
      </c>
      <c r="B38" s="66" t="s">
        <v>420</v>
      </c>
      <c r="C38" s="15">
        <f t="shared" si="3"/>
        <v>0</v>
      </c>
      <c r="D38" s="15">
        <f t="shared" si="4"/>
        <v>0</v>
      </c>
      <c r="E38" s="15"/>
      <c r="F38" s="15"/>
      <c r="G38" s="15">
        <f>ROUND(SUM(C38:F38)/2,0)</f>
        <v>0</v>
      </c>
      <c r="H38" s="15"/>
      <c r="I38" s="15">
        <f t="shared" si="6"/>
        <v>0</v>
      </c>
      <c r="J38" s="15">
        <f t="shared" si="6"/>
        <v>0</v>
      </c>
      <c r="K38" s="15">
        <f t="shared" si="6"/>
        <v>0</v>
      </c>
      <c r="L38" s="15"/>
      <c r="M38" s="82">
        <v>0</v>
      </c>
      <c r="N38" s="82">
        <v>0</v>
      </c>
      <c r="O38" s="82">
        <v>0</v>
      </c>
      <c r="P38" s="15"/>
      <c r="Q38" s="82">
        <v>0</v>
      </c>
      <c r="R38" s="82">
        <v>0</v>
      </c>
      <c r="S38" s="82">
        <v>0</v>
      </c>
    </row>
    <row r="39" spans="1:19" ht="14.25">
      <c r="A39" s="17">
        <f t="shared" si="1"/>
        <v>23</v>
      </c>
      <c r="B39" s="35" t="s">
        <v>421</v>
      </c>
      <c r="C39" s="15">
        <f t="shared" si="3"/>
        <v>0</v>
      </c>
      <c r="D39" s="15">
        <f t="shared" si="4"/>
        <v>0</v>
      </c>
      <c r="E39" s="15"/>
      <c r="F39" s="15"/>
      <c r="G39" s="15">
        <f t="shared" si="5"/>
        <v>0</v>
      </c>
      <c r="H39" s="15"/>
      <c r="I39" s="15">
        <f t="shared" si="6"/>
        <v>0</v>
      </c>
      <c r="J39" s="15">
        <f t="shared" si="6"/>
        <v>0</v>
      </c>
      <c r="K39" s="15">
        <f t="shared" si="6"/>
        <v>0</v>
      </c>
      <c r="L39" s="15"/>
      <c r="M39" s="82">
        <v>0</v>
      </c>
      <c r="N39" s="82">
        <v>0</v>
      </c>
      <c r="O39" s="82">
        <v>0</v>
      </c>
      <c r="P39" s="15"/>
      <c r="Q39" s="82">
        <v>0</v>
      </c>
      <c r="R39" s="82">
        <v>0</v>
      </c>
      <c r="S39" s="82">
        <v>0</v>
      </c>
    </row>
    <row r="40" spans="1:19" ht="14.25">
      <c r="A40" s="17">
        <f t="shared" si="1"/>
        <v>24</v>
      </c>
      <c r="B40" s="35" t="s">
        <v>43</v>
      </c>
      <c r="C40" s="15">
        <f t="shared" si="3"/>
        <v>7174124.59</v>
      </c>
      <c r="D40" s="15">
        <f t="shared" si="4"/>
        <v>8315922.879999999</v>
      </c>
      <c r="E40" s="15"/>
      <c r="F40" s="15"/>
      <c r="G40" s="15">
        <f t="shared" si="5"/>
        <v>7745024</v>
      </c>
      <c r="H40" s="15"/>
      <c r="I40" s="15">
        <f t="shared" si="6"/>
        <v>0</v>
      </c>
      <c r="J40" s="15">
        <f t="shared" si="6"/>
        <v>3825235.1449999996</v>
      </c>
      <c r="K40" s="15">
        <f t="shared" si="6"/>
        <v>3919788.59</v>
      </c>
      <c r="L40" s="15"/>
      <c r="M40" s="82">
        <v>0</v>
      </c>
      <c r="N40" s="82">
        <f>7778062.5-4288676</f>
        <v>3489386.5</v>
      </c>
      <c r="O40" s="82">
        <f>9404554.09-5719816</f>
        <v>3684738.09</v>
      </c>
      <c r="P40" s="15"/>
      <c r="Q40" s="82">
        <v>0</v>
      </c>
      <c r="R40" s="82">
        <v>4161083.789999999</v>
      </c>
      <c r="S40" s="82">
        <v>4154839.09</v>
      </c>
    </row>
    <row r="41" spans="1:19" ht="14.25">
      <c r="A41" s="17">
        <f t="shared" si="1"/>
        <v>25</v>
      </c>
      <c r="B41" s="35" t="s">
        <v>631</v>
      </c>
      <c r="C41" s="15">
        <f t="shared" si="3"/>
        <v>4560711.9</v>
      </c>
      <c r="D41" s="15">
        <f t="shared" si="4"/>
        <v>4322226.9</v>
      </c>
      <c r="E41" s="15"/>
      <c r="F41" s="15"/>
      <c r="G41" s="15">
        <f>ROUND(SUM(C41:F41)/2,0)</f>
        <v>4441469</v>
      </c>
      <c r="H41" s="15"/>
      <c r="I41" s="15">
        <f t="shared" si="6"/>
        <v>0</v>
      </c>
      <c r="J41" s="15">
        <f t="shared" si="6"/>
        <v>1952530.21</v>
      </c>
      <c r="K41" s="15">
        <f t="shared" si="6"/>
        <v>2488939.1900000004</v>
      </c>
      <c r="L41" s="15"/>
      <c r="M41" s="82">
        <v>0</v>
      </c>
      <c r="N41" s="82">
        <f>2828362.21-828692</f>
        <v>1999670.21</v>
      </c>
      <c r="O41" s="82">
        <f>4326158.69-1765117</f>
        <v>2561041.6900000004</v>
      </c>
      <c r="P41" s="15"/>
      <c r="Q41" s="82">
        <v>0</v>
      </c>
      <c r="R41" s="82">
        <v>1905390.21</v>
      </c>
      <c r="S41" s="82">
        <v>2416836.6900000004</v>
      </c>
    </row>
    <row r="42" spans="1:19" ht="14.25">
      <c r="A42" s="17">
        <f t="shared" si="1"/>
        <v>26</v>
      </c>
      <c r="B42" s="35" t="s">
        <v>632</v>
      </c>
      <c r="C42" s="15">
        <f t="shared" si="3"/>
        <v>2652</v>
      </c>
      <c r="D42" s="15">
        <f t="shared" si="4"/>
        <v>2652</v>
      </c>
      <c r="E42" s="15"/>
      <c r="F42" s="15"/>
      <c r="G42" s="15">
        <f>ROUND(SUM(C42:F42)/2,0)</f>
        <v>2652</v>
      </c>
      <c r="H42" s="15"/>
      <c r="I42" s="15">
        <f t="shared" si="6"/>
        <v>0</v>
      </c>
      <c r="J42" s="15">
        <f t="shared" si="6"/>
        <v>0</v>
      </c>
      <c r="K42" s="15">
        <f t="shared" si="6"/>
        <v>2652</v>
      </c>
      <c r="L42" s="15"/>
      <c r="M42" s="82">
        <v>0</v>
      </c>
      <c r="N42" s="82">
        <v>0</v>
      </c>
      <c r="O42" s="82">
        <v>2652</v>
      </c>
      <c r="P42" s="15"/>
      <c r="Q42" s="82">
        <v>0</v>
      </c>
      <c r="R42" s="82">
        <v>0</v>
      </c>
      <c r="S42" s="82">
        <v>2652</v>
      </c>
    </row>
    <row r="43" spans="1:19" ht="14.25">
      <c r="A43" s="17">
        <f t="shared" si="1"/>
        <v>27</v>
      </c>
      <c r="B43" s="35" t="s">
        <v>232</v>
      </c>
      <c r="C43" s="15">
        <f t="shared" si="3"/>
        <v>47680</v>
      </c>
      <c r="D43" s="15">
        <f t="shared" si="4"/>
        <v>21482</v>
      </c>
      <c r="E43" s="15"/>
      <c r="F43" s="15"/>
      <c r="G43" s="15">
        <f t="shared" si="5"/>
        <v>34581</v>
      </c>
      <c r="H43" s="15"/>
      <c r="I43" s="15">
        <f t="shared" si="6"/>
        <v>0</v>
      </c>
      <c r="J43" s="15">
        <f t="shared" si="6"/>
        <v>11960.5</v>
      </c>
      <c r="K43" s="15">
        <f t="shared" si="6"/>
        <v>22620.5</v>
      </c>
      <c r="L43" s="15"/>
      <c r="M43" s="82">
        <v>0</v>
      </c>
      <c r="N43" s="82">
        <f>470320-453831</f>
        <v>16489</v>
      </c>
      <c r="O43" s="82">
        <f>869001-837810</f>
        <v>31191</v>
      </c>
      <c r="P43" s="15"/>
      <c r="Q43" s="82">
        <v>0</v>
      </c>
      <c r="R43" s="82">
        <v>7432</v>
      </c>
      <c r="S43" s="82">
        <v>14050</v>
      </c>
    </row>
    <row r="44" spans="1:19" ht="14.25">
      <c r="A44" s="17">
        <f t="shared" si="1"/>
        <v>28</v>
      </c>
      <c r="B44" s="35" t="s">
        <v>238</v>
      </c>
      <c r="C44" s="15">
        <f t="shared" si="3"/>
        <v>12478</v>
      </c>
      <c r="D44" s="15">
        <f t="shared" si="4"/>
        <v>2745</v>
      </c>
      <c r="E44" s="15"/>
      <c r="F44" s="15"/>
      <c r="G44" s="15">
        <f t="shared" si="5"/>
        <v>7612</v>
      </c>
      <c r="H44" s="15"/>
      <c r="I44" s="15">
        <f t="shared" si="6"/>
        <v>0</v>
      </c>
      <c r="J44" s="15">
        <f t="shared" si="6"/>
        <v>2055.5</v>
      </c>
      <c r="K44" s="15">
        <f t="shared" si="6"/>
        <v>5556</v>
      </c>
      <c r="L44" s="15"/>
      <c r="M44" s="82">
        <v>0</v>
      </c>
      <c r="N44" s="82">
        <f>234911-231466</f>
        <v>3445</v>
      </c>
      <c r="O44" s="82">
        <f>542815-533782</f>
        <v>9033</v>
      </c>
      <c r="P44" s="15"/>
      <c r="Q44" s="82">
        <v>0</v>
      </c>
      <c r="R44" s="82">
        <v>666</v>
      </c>
      <c r="S44" s="82">
        <v>2079</v>
      </c>
    </row>
    <row r="45" spans="1:19" ht="14.25">
      <c r="A45" s="17">
        <f t="shared" si="1"/>
        <v>29</v>
      </c>
      <c r="B45" s="35" t="s">
        <v>47</v>
      </c>
      <c r="C45" s="15">
        <f t="shared" si="3"/>
        <v>3801.29</v>
      </c>
      <c r="D45" s="15">
        <f t="shared" si="4"/>
        <v>3800.25</v>
      </c>
      <c r="E45" s="15"/>
      <c r="F45" s="15"/>
      <c r="G45" s="15">
        <f t="shared" si="5"/>
        <v>3801</v>
      </c>
      <c r="H45" s="15"/>
      <c r="I45" s="15">
        <f t="shared" si="6"/>
        <v>0</v>
      </c>
      <c r="J45" s="15">
        <f t="shared" si="6"/>
        <v>1088.745</v>
      </c>
      <c r="K45" s="15">
        <f t="shared" si="6"/>
        <v>2712.0249999999996</v>
      </c>
      <c r="L45" s="15"/>
      <c r="M45" s="82">
        <v>0</v>
      </c>
      <c r="N45" s="82">
        <f>1089.9-1</f>
        <v>1088.9</v>
      </c>
      <c r="O45" s="82">
        <v>2712.39</v>
      </c>
      <c r="P45" s="15"/>
      <c r="Q45" s="82">
        <v>0</v>
      </c>
      <c r="R45" s="82">
        <v>1088.59</v>
      </c>
      <c r="S45" s="82">
        <v>2711.66</v>
      </c>
    </row>
    <row r="46" spans="1:19" ht="14.25">
      <c r="A46" s="17">
        <f t="shared" si="1"/>
        <v>30</v>
      </c>
      <c r="B46" s="35" t="s">
        <v>243</v>
      </c>
      <c r="C46" s="15">
        <f t="shared" si="3"/>
        <v>7048</v>
      </c>
      <c r="D46" s="15">
        <f t="shared" si="4"/>
        <v>2988</v>
      </c>
      <c r="E46" s="15"/>
      <c r="F46" s="15"/>
      <c r="G46" s="15">
        <f t="shared" si="5"/>
        <v>5018</v>
      </c>
      <c r="H46" s="15"/>
      <c r="I46" s="15">
        <f t="shared" si="6"/>
        <v>0</v>
      </c>
      <c r="J46" s="15">
        <f t="shared" si="6"/>
        <v>2011</v>
      </c>
      <c r="K46" s="15">
        <f t="shared" si="6"/>
        <v>3007</v>
      </c>
      <c r="L46" s="15"/>
      <c r="M46" s="82">
        <v>0</v>
      </c>
      <c r="N46" s="82">
        <f>89902-87099</f>
        <v>2803</v>
      </c>
      <c r="O46" s="82">
        <f>147201-142956</f>
        <v>4245</v>
      </c>
      <c r="P46" s="15"/>
      <c r="Q46" s="82">
        <v>0</v>
      </c>
      <c r="R46" s="82">
        <v>1219</v>
      </c>
      <c r="S46" s="82">
        <v>1769</v>
      </c>
    </row>
    <row r="47" spans="1:19" ht="14.25">
      <c r="A47" s="17">
        <f t="shared" si="1"/>
        <v>31</v>
      </c>
      <c r="B47" s="35" t="s">
        <v>48</v>
      </c>
      <c r="C47" s="15">
        <f t="shared" si="3"/>
        <v>36484647.25</v>
      </c>
      <c r="D47" s="15">
        <f t="shared" si="4"/>
        <v>33737215.25</v>
      </c>
      <c r="E47" s="15"/>
      <c r="F47" s="15"/>
      <c r="G47" s="15">
        <f t="shared" si="5"/>
        <v>35110931</v>
      </c>
      <c r="H47" s="15"/>
      <c r="I47" s="15">
        <f t="shared" si="6"/>
        <v>0</v>
      </c>
      <c r="J47" s="15">
        <f t="shared" si="6"/>
        <v>6775574.25</v>
      </c>
      <c r="K47" s="15">
        <f t="shared" si="6"/>
        <v>28335357</v>
      </c>
      <c r="L47" s="15"/>
      <c r="M47" s="82">
        <v>0</v>
      </c>
      <c r="N47" s="82">
        <f>18581323.25-11532218</f>
        <v>7049105.25</v>
      </c>
      <c r="O47" s="82">
        <f>74837435-45401893</f>
        <v>29435542</v>
      </c>
      <c r="P47" s="15"/>
      <c r="Q47" s="82">
        <v>0</v>
      </c>
      <c r="R47" s="82">
        <v>6502043.25</v>
      </c>
      <c r="S47" s="82">
        <v>27235172</v>
      </c>
    </row>
    <row r="48" spans="1:19" ht="14.25">
      <c r="A48" s="17">
        <f t="shared" si="1"/>
        <v>32</v>
      </c>
      <c r="B48" s="14" t="s">
        <v>49</v>
      </c>
      <c r="C48" s="15">
        <f t="shared" si="3"/>
        <v>0</v>
      </c>
      <c r="D48" s="15">
        <f t="shared" si="4"/>
        <v>0</v>
      </c>
      <c r="E48" s="15"/>
      <c r="F48" s="15"/>
      <c r="G48" s="15">
        <f t="shared" si="5"/>
        <v>0</v>
      </c>
      <c r="H48" s="15"/>
      <c r="I48" s="15">
        <f t="shared" si="6"/>
        <v>0</v>
      </c>
      <c r="J48" s="15">
        <f t="shared" si="6"/>
        <v>0</v>
      </c>
      <c r="K48" s="15">
        <f t="shared" si="6"/>
        <v>0</v>
      </c>
      <c r="L48" s="15"/>
      <c r="M48" s="82">
        <v>0</v>
      </c>
      <c r="N48" s="82">
        <v>0</v>
      </c>
      <c r="O48" s="82">
        <v>0</v>
      </c>
      <c r="P48" s="15"/>
      <c r="Q48" s="82">
        <v>0</v>
      </c>
      <c r="R48" s="82">
        <v>0</v>
      </c>
      <c r="S48" s="82">
        <v>0</v>
      </c>
    </row>
    <row r="49" spans="1:19" ht="14.25">
      <c r="A49" s="17">
        <f t="shared" si="1"/>
        <v>33</v>
      </c>
      <c r="B49" s="14" t="s">
        <v>50</v>
      </c>
      <c r="C49" s="15">
        <f t="shared" si="3"/>
        <v>0</v>
      </c>
      <c r="D49" s="15">
        <f t="shared" si="4"/>
        <v>0</v>
      </c>
      <c r="E49" s="15"/>
      <c r="F49" s="15"/>
      <c r="G49" s="15">
        <f t="shared" si="5"/>
        <v>0</v>
      </c>
      <c r="H49" s="15"/>
      <c r="I49" s="15">
        <f t="shared" si="6"/>
        <v>0</v>
      </c>
      <c r="J49" s="15">
        <f t="shared" si="6"/>
        <v>0</v>
      </c>
      <c r="K49" s="15">
        <f t="shared" si="6"/>
        <v>0</v>
      </c>
      <c r="L49" s="15"/>
      <c r="M49" s="82">
        <v>0</v>
      </c>
      <c r="N49" s="82">
        <v>0</v>
      </c>
      <c r="O49" s="82">
        <v>0</v>
      </c>
      <c r="P49" s="15"/>
      <c r="Q49" s="82">
        <v>0</v>
      </c>
      <c r="R49" s="82">
        <v>0</v>
      </c>
      <c r="S49" s="82">
        <v>0</v>
      </c>
    </row>
    <row r="50" spans="1:19" ht="14.25">
      <c r="A50" s="17">
        <f t="shared" si="1"/>
        <v>34</v>
      </c>
      <c r="B50" s="14" t="s">
        <v>422</v>
      </c>
      <c r="C50" s="15">
        <f t="shared" si="3"/>
        <v>0</v>
      </c>
      <c r="D50" s="15">
        <f t="shared" si="4"/>
        <v>0</v>
      </c>
      <c r="E50" s="15"/>
      <c r="F50" s="15"/>
      <c r="G50" s="15">
        <f>ROUND(SUM(C50:F50)/2,0)</f>
        <v>0</v>
      </c>
      <c r="H50" s="15"/>
      <c r="I50" s="15">
        <f t="shared" si="6"/>
        <v>0</v>
      </c>
      <c r="J50" s="15">
        <f t="shared" si="6"/>
        <v>0</v>
      </c>
      <c r="K50" s="15">
        <f t="shared" si="6"/>
        <v>0</v>
      </c>
      <c r="L50" s="15"/>
      <c r="M50" s="82">
        <v>0</v>
      </c>
      <c r="N50" s="82">
        <v>0</v>
      </c>
      <c r="O50" s="82">
        <v>0</v>
      </c>
      <c r="P50" s="15"/>
      <c r="Q50" s="82">
        <v>0</v>
      </c>
      <c r="R50" s="82">
        <v>0</v>
      </c>
      <c r="S50" s="82">
        <v>0</v>
      </c>
    </row>
    <row r="51" spans="1:19" ht="14.25">
      <c r="A51" s="17">
        <f t="shared" si="1"/>
        <v>35</v>
      </c>
      <c r="B51" s="14" t="s">
        <v>423</v>
      </c>
      <c r="C51" s="15">
        <f t="shared" si="3"/>
        <v>0</v>
      </c>
      <c r="D51" s="15">
        <f t="shared" si="4"/>
        <v>0</v>
      </c>
      <c r="E51" s="15"/>
      <c r="F51" s="15"/>
      <c r="G51" s="15">
        <f>ROUND(SUM(C51:F51)/2,0)</f>
        <v>0</v>
      </c>
      <c r="H51" s="15"/>
      <c r="I51" s="15">
        <f t="shared" si="6"/>
        <v>0</v>
      </c>
      <c r="J51" s="15">
        <f t="shared" si="6"/>
        <v>0</v>
      </c>
      <c r="K51" s="15">
        <f t="shared" si="6"/>
        <v>0</v>
      </c>
      <c r="L51" s="15"/>
      <c r="M51" s="82">
        <v>0</v>
      </c>
      <c r="N51" s="82">
        <v>0</v>
      </c>
      <c r="O51" s="82">
        <v>0</v>
      </c>
      <c r="P51" s="15"/>
      <c r="Q51" s="82">
        <v>0</v>
      </c>
      <c r="R51" s="82">
        <v>0</v>
      </c>
      <c r="S51" s="82">
        <v>0</v>
      </c>
    </row>
    <row r="52" spans="1:19" ht="14.25">
      <c r="A52" s="17">
        <f t="shared" si="1"/>
        <v>36</v>
      </c>
      <c r="B52" s="14" t="s">
        <v>55</v>
      </c>
      <c r="C52" s="15">
        <f t="shared" si="3"/>
        <v>215692.75</v>
      </c>
      <c r="D52" s="15">
        <f t="shared" si="4"/>
        <v>0</v>
      </c>
      <c r="E52" s="15"/>
      <c r="F52" s="15"/>
      <c r="G52" s="15">
        <f>ROUND(SUM(C52:F52)/2,0)</f>
        <v>107846</v>
      </c>
      <c r="H52" s="15"/>
      <c r="I52" s="15">
        <f t="shared" si="6"/>
        <v>0</v>
      </c>
      <c r="J52" s="15">
        <f t="shared" si="6"/>
        <v>23333.625</v>
      </c>
      <c r="K52" s="15">
        <f t="shared" si="6"/>
        <v>84512.75</v>
      </c>
      <c r="L52" s="15"/>
      <c r="M52" s="82">
        <v>0</v>
      </c>
      <c r="N52" s="82">
        <v>46667.25</v>
      </c>
      <c r="O52" s="82">
        <v>169025.5</v>
      </c>
      <c r="P52" s="15"/>
      <c r="Q52" s="82">
        <v>0</v>
      </c>
      <c r="R52" s="82">
        <v>0</v>
      </c>
      <c r="S52" s="82">
        <v>0</v>
      </c>
    </row>
    <row r="53" spans="1:19" ht="14.25">
      <c r="A53" s="17">
        <f t="shared" si="1"/>
        <v>37</v>
      </c>
      <c r="B53" s="14" t="s">
        <v>51</v>
      </c>
      <c r="C53" s="15">
        <f t="shared" si="3"/>
        <v>15560236.58</v>
      </c>
      <c r="D53" s="15">
        <f t="shared" si="4"/>
        <v>19414623.330000002</v>
      </c>
      <c r="E53" s="15"/>
      <c r="F53" s="15"/>
      <c r="G53" s="15">
        <f>ROUND(SUM(C53:F53)/2,0)</f>
        <v>17487430</v>
      </c>
      <c r="H53" s="15"/>
      <c r="I53" s="15">
        <f t="shared" si="6"/>
        <v>0</v>
      </c>
      <c r="J53" s="15">
        <f t="shared" si="6"/>
        <v>1732704.7249999999</v>
      </c>
      <c r="K53" s="15">
        <f t="shared" si="6"/>
        <v>15754725.23</v>
      </c>
      <c r="L53" s="15"/>
      <c r="M53" s="82">
        <v>0</v>
      </c>
      <c r="N53" s="82">
        <f>2294730.9-525777</f>
        <v>1768953.9</v>
      </c>
      <c r="O53" s="82">
        <f>16891044.68-3099762</f>
        <v>13791282.68</v>
      </c>
      <c r="P53" s="15"/>
      <c r="Q53" s="82">
        <v>0</v>
      </c>
      <c r="R53" s="82">
        <v>1696455.5499999998</v>
      </c>
      <c r="S53" s="82">
        <v>17718167.78</v>
      </c>
    </row>
    <row r="54" spans="1:19" ht="14.25">
      <c r="A54" s="17">
        <f t="shared" si="1"/>
        <v>38</v>
      </c>
      <c r="B54" s="35" t="s">
        <v>56</v>
      </c>
      <c r="C54" s="15">
        <f t="shared" si="3"/>
        <v>133185</v>
      </c>
      <c r="D54" s="15">
        <f t="shared" si="4"/>
        <v>54189</v>
      </c>
      <c r="E54" s="15"/>
      <c r="F54" s="15"/>
      <c r="G54" s="15">
        <f t="shared" si="5"/>
        <v>93687</v>
      </c>
      <c r="H54" s="15"/>
      <c r="I54" s="15">
        <f t="shared" si="6"/>
        <v>0</v>
      </c>
      <c r="J54" s="15">
        <f t="shared" si="6"/>
        <v>39877</v>
      </c>
      <c r="K54" s="15">
        <f t="shared" si="6"/>
        <v>53810</v>
      </c>
      <c r="L54" s="15"/>
      <c r="M54" s="82">
        <v>0</v>
      </c>
      <c r="N54" s="82">
        <f>1836658-1779969</f>
        <v>56689</v>
      </c>
      <c r="O54" s="82">
        <f>2478373-2401877</f>
        <v>76496</v>
      </c>
      <c r="P54" s="15"/>
      <c r="Q54" s="82">
        <v>0</v>
      </c>
      <c r="R54" s="82">
        <v>23065</v>
      </c>
      <c r="S54" s="82">
        <v>31124</v>
      </c>
    </row>
    <row r="55" spans="1:19" ht="14.25">
      <c r="A55" s="17">
        <f t="shared" si="1"/>
        <v>39</v>
      </c>
      <c r="B55" s="35" t="s">
        <v>57</v>
      </c>
      <c r="C55" s="15">
        <f t="shared" si="3"/>
        <v>42374006.47</v>
      </c>
      <c r="D55" s="15">
        <f t="shared" si="4"/>
        <v>55163385.019999996</v>
      </c>
      <c r="E55" s="15"/>
      <c r="F55" s="15"/>
      <c r="G55" s="15">
        <f t="shared" si="5"/>
        <v>48768696</v>
      </c>
      <c r="H55" s="15"/>
      <c r="I55" s="15">
        <f t="shared" si="6"/>
        <v>0</v>
      </c>
      <c r="J55" s="15">
        <f t="shared" si="6"/>
        <v>10855245.645</v>
      </c>
      <c r="K55" s="15">
        <f t="shared" si="6"/>
        <v>37913450.1</v>
      </c>
      <c r="L55" s="15"/>
      <c r="M55" s="82">
        <v>0</v>
      </c>
      <c r="N55" s="82">
        <f>10315927.52-1469690</f>
        <v>8846237.52</v>
      </c>
      <c r="O55" s="82">
        <f>41717992.95-8190224</f>
        <v>33527768.950000003</v>
      </c>
      <c r="P55" s="15"/>
      <c r="Q55" s="82">
        <v>0</v>
      </c>
      <c r="R55" s="82">
        <v>12864253.77</v>
      </c>
      <c r="S55" s="82">
        <v>42299131.25</v>
      </c>
    </row>
    <row r="56" spans="1:19" ht="14.25">
      <c r="A56" s="17">
        <f t="shared" si="1"/>
        <v>40</v>
      </c>
      <c r="B56" s="35" t="s">
        <v>424</v>
      </c>
      <c r="C56" s="15">
        <f t="shared" si="3"/>
        <v>0</v>
      </c>
      <c r="D56" s="15">
        <f t="shared" si="4"/>
        <v>0</v>
      </c>
      <c r="E56" s="15"/>
      <c r="F56" s="15"/>
      <c r="G56" s="15">
        <f t="shared" si="5"/>
        <v>0</v>
      </c>
      <c r="H56" s="15"/>
      <c r="I56" s="15">
        <f t="shared" si="6"/>
        <v>0</v>
      </c>
      <c r="J56" s="15">
        <f t="shared" si="6"/>
        <v>0</v>
      </c>
      <c r="K56" s="15">
        <f t="shared" si="6"/>
        <v>0</v>
      </c>
      <c r="L56" s="15"/>
      <c r="M56" s="82">
        <v>0</v>
      </c>
      <c r="N56" s="82">
        <v>0</v>
      </c>
      <c r="O56" s="82">
        <v>0</v>
      </c>
      <c r="P56" s="15"/>
      <c r="Q56" s="82">
        <v>0</v>
      </c>
      <c r="R56" s="82">
        <v>0</v>
      </c>
      <c r="S56" s="82">
        <v>0</v>
      </c>
    </row>
    <row r="57" spans="1:19" ht="14.25">
      <c r="A57" s="17">
        <f t="shared" si="1"/>
        <v>41</v>
      </c>
      <c r="B57" s="66" t="s">
        <v>425</v>
      </c>
      <c r="C57" s="15">
        <f t="shared" si="3"/>
        <v>0</v>
      </c>
      <c r="D57" s="15">
        <f t="shared" si="4"/>
        <v>0</v>
      </c>
      <c r="E57" s="15"/>
      <c r="F57" s="15"/>
      <c r="G57" s="15">
        <f>ROUND(SUM(C57:F57)/2,0)</f>
        <v>0</v>
      </c>
      <c r="H57" s="15"/>
      <c r="I57" s="15">
        <f t="shared" si="6"/>
        <v>0</v>
      </c>
      <c r="J57" s="15">
        <f t="shared" si="6"/>
        <v>0</v>
      </c>
      <c r="K57" s="15">
        <f t="shared" si="6"/>
        <v>0</v>
      </c>
      <c r="L57" s="15"/>
      <c r="M57" s="82">
        <v>0</v>
      </c>
      <c r="N57" s="82">
        <v>0</v>
      </c>
      <c r="O57" s="82">
        <v>0</v>
      </c>
      <c r="P57" s="15"/>
      <c r="Q57" s="82">
        <v>0</v>
      </c>
      <c r="R57" s="82">
        <v>0</v>
      </c>
      <c r="S57" s="82">
        <v>0</v>
      </c>
    </row>
    <row r="58" spans="1:21" ht="14.25">
      <c r="A58" s="17">
        <f t="shared" si="1"/>
        <v>42</v>
      </c>
      <c r="B58" s="35" t="s">
        <v>32</v>
      </c>
      <c r="C58" s="81">
        <v>762816.25</v>
      </c>
      <c r="D58" s="81">
        <v>761856.2</v>
      </c>
      <c r="E58" s="15">
        <f aca="true" t="shared" si="7" ref="E58:F60">-C58</f>
        <v>-762816.25</v>
      </c>
      <c r="F58" s="15">
        <f t="shared" si="7"/>
        <v>-761856.2</v>
      </c>
      <c r="G58" s="15">
        <f t="shared" si="5"/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69"/>
      <c r="T58" s="4"/>
      <c r="U58" s="4"/>
    </row>
    <row r="59" spans="1:21" ht="14.25">
      <c r="A59" s="17">
        <f t="shared" si="1"/>
        <v>43</v>
      </c>
      <c r="B59" s="35" t="s">
        <v>63</v>
      </c>
      <c r="C59" s="81">
        <v>96855188.57</v>
      </c>
      <c r="D59" s="81">
        <v>88750901.85</v>
      </c>
      <c r="E59" s="15">
        <f t="shared" si="7"/>
        <v>-96855188.57</v>
      </c>
      <c r="F59" s="15">
        <f t="shared" si="7"/>
        <v>-88750901.85</v>
      </c>
      <c r="G59" s="15">
        <f t="shared" si="5"/>
        <v>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69"/>
      <c r="T59" s="4"/>
      <c r="U59" s="4"/>
    </row>
    <row r="60" spans="1:21" ht="14.25">
      <c r="A60" s="17">
        <f t="shared" si="1"/>
        <v>44</v>
      </c>
      <c r="B60" s="35" t="s">
        <v>64</v>
      </c>
      <c r="C60" s="81">
        <v>-788843.6799999999</v>
      </c>
      <c r="D60" s="81">
        <v>-775261.48</v>
      </c>
      <c r="E60" s="15">
        <f t="shared" si="7"/>
        <v>788843.6799999999</v>
      </c>
      <c r="F60" s="15">
        <f t="shared" si="7"/>
        <v>775261.48</v>
      </c>
      <c r="G60" s="15">
        <f t="shared" si="5"/>
        <v>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69"/>
      <c r="T60" s="4"/>
      <c r="U60" s="4"/>
    </row>
    <row r="61" spans="1:19" ht="14.25">
      <c r="A61" s="17">
        <f t="shared" si="1"/>
        <v>45</v>
      </c>
      <c r="B61" s="3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69"/>
    </row>
    <row r="62" spans="1:19" ht="15" thickBot="1">
      <c r="A62" s="17">
        <f t="shared" si="1"/>
        <v>46</v>
      </c>
      <c r="B62" s="5" t="s">
        <v>65</v>
      </c>
      <c r="C62" s="18">
        <f>SUM(C28:C61)</f>
        <v>870665558.07</v>
      </c>
      <c r="D62" s="18">
        <f>SUM(D28:D61)</f>
        <v>953310127.17</v>
      </c>
      <c r="E62" s="18">
        <f>SUM(E28:E61)</f>
        <v>-96829161.13999999</v>
      </c>
      <c r="F62" s="18">
        <f>SUM(F28:F61)</f>
        <v>-88737496.57</v>
      </c>
      <c r="G62" s="18">
        <f>SUM(G28:G61)</f>
        <v>819204514</v>
      </c>
      <c r="H62" s="18"/>
      <c r="I62" s="18">
        <f>SUM(I28:I61)</f>
        <v>0</v>
      </c>
      <c r="J62" s="18">
        <f>SUM(J28:J61)</f>
        <v>262449531.89500004</v>
      </c>
      <c r="K62" s="18">
        <f>SUM(K28:K61)</f>
        <v>556754981.87</v>
      </c>
      <c r="L62" s="18"/>
      <c r="M62" s="18">
        <f>SUM(M28:M61)</f>
        <v>0</v>
      </c>
      <c r="N62" s="18">
        <f>SUM(N28:N61)</f>
        <v>246833222.83000004</v>
      </c>
      <c r="O62" s="18">
        <f>SUM(O28:O61)</f>
        <v>527003174.09999996</v>
      </c>
      <c r="P62" s="15"/>
      <c r="Q62" s="18">
        <f>SUM(Q28:Q61)</f>
        <v>0</v>
      </c>
      <c r="R62" s="18">
        <f>SUM(R28:R61)</f>
        <v>278065840.96</v>
      </c>
      <c r="S62" s="18">
        <f>SUM(S28:S61)</f>
        <v>586506789.64</v>
      </c>
    </row>
    <row r="63" spans="1:19" ht="15" thickTop="1">
      <c r="A63" s="17">
        <f t="shared" si="1"/>
        <v>47</v>
      </c>
      <c r="B63" s="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70" t="s">
        <v>67</v>
      </c>
      <c r="N63" s="19"/>
      <c r="O63" s="19"/>
      <c r="P63" s="15"/>
      <c r="Q63" s="19"/>
      <c r="R63" s="19"/>
      <c r="S63" s="71"/>
    </row>
    <row r="64" spans="1:19" ht="14.25">
      <c r="A64" s="17">
        <f t="shared" si="1"/>
        <v>48</v>
      </c>
      <c r="B64" s="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0"/>
      <c r="N64" s="15"/>
      <c r="O64" s="15"/>
      <c r="P64" s="15"/>
      <c r="Q64" s="15"/>
      <c r="R64" s="15"/>
      <c r="S64" s="69"/>
    </row>
    <row r="65" spans="1:19" ht="14.25">
      <c r="A65" s="17">
        <f t="shared" si="1"/>
        <v>49</v>
      </c>
      <c r="B65" s="14" t="s">
        <v>66</v>
      </c>
      <c r="C65" s="15" t="s">
        <v>67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69"/>
    </row>
    <row r="66" spans="1:19" ht="14.25">
      <c r="A66" s="17">
        <f t="shared" si="1"/>
        <v>50</v>
      </c>
      <c r="B66" s="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68" t="s">
        <v>67</v>
      </c>
      <c r="N66" s="15"/>
      <c r="O66" s="15"/>
      <c r="P66" s="15"/>
      <c r="Q66" s="15"/>
      <c r="R66" s="15"/>
      <c r="S66" s="69"/>
    </row>
    <row r="67" spans="1:19" ht="14.25">
      <c r="A67" s="17">
        <f t="shared" si="1"/>
        <v>51</v>
      </c>
      <c r="B67" s="21" t="s">
        <v>68</v>
      </c>
      <c r="C67" s="15">
        <f aca="true" t="shared" si="8" ref="C67:C98">SUM(M67:O67)</f>
        <v>5776600</v>
      </c>
      <c r="D67" s="15">
        <f aca="true" t="shared" si="9" ref="D67:D130">SUM(Q67:S67)</f>
        <v>1558567.15</v>
      </c>
      <c r="E67" s="15"/>
      <c r="F67" s="15"/>
      <c r="G67" s="15">
        <f aca="true" t="shared" si="10" ref="G67:G130">ROUND(SUM(C67:F67)/2,0)</f>
        <v>3667584</v>
      </c>
      <c r="H67" s="15"/>
      <c r="I67" s="15">
        <f aca="true" t="shared" si="11" ref="I67:K98">(M67+Q67)/2</f>
        <v>0</v>
      </c>
      <c r="J67" s="15">
        <f t="shared" si="11"/>
        <v>0</v>
      </c>
      <c r="K67" s="15">
        <f t="shared" si="11"/>
        <v>3667583.575</v>
      </c>
      <c r="L67" s="15"/>
      <c r="M67" s="82">
        <v>0</v>
      </c>
      <c r="N67" s="82">
        <v>0</v>
      </c>
      <c r="O67" s="82">
        <v>5776600</v>
      </c>
      <c r="P67" s="15"/>
      <c r="Q67" s="82">
        <v>0</v>
      </c>
      <c r="R67" s="82">
        <v>0</v>
      </c>
      <c r="S67" s="82">
        <v>1558567.15</v>
      </c>
    </row>
    <row r="68" spans="1:19" ht="14.25">
      <c r="A68" s="17">
        <f t="shared" si="1"/>
        <v>52</v>
      </c>
      <c r="B68" s="66" t="s">
        <v>384</v>
      </c>
      <c r="C68" s="15">
        <f t="shared" si="8"/>
        <v>152394197</v>
      </c>
      <c r="D68" s="15">
        <f t="shared" si="9"/>
        <v>130295883.26</v>
      </c>
      <c r="E68" s="15"/>
      <c r="F68" s="15"/>
      <c r="G68" s="15">
        <f>ROUND(SUM(C68:F68)/2,0)</f>
        <v>141345040</v>
      </c>
      <c r="H68" s="15"/>
      <c r="I68" s="15">
        <f t="shared" si="11"/>
        <v>0</v>
      </c>
      <c r="J68" s="15">
        <f t="shared" si="11"/>
        <v>0</v>
      </c>
      <c r="K68" s="15">
        <f t="shared" si="11"/>
        <v>141345040.13</v>
      </c>
      <c r="L68" s="15"/>
      <c r="M68" s="82">
        <v>0</v>
      </c>
      <c r="N68" s="82">
        <v>0</v>
      </c>
      <c r="O68" s="82">
        <v>152394197</v>
      </c>
      <c r="P68" s="15"/>
      <c r="Q68" s="82">
        <v>0</v>
      </c>
      <c r="R68" s="82">
        <v>0</v>
      </c>
      <c r="S68" s="82">
        <v>130295883.26</v>
      </c>
    </row>
    <row r="69" spans="1:19" ht="14.25">
      <c r="A69" s="17">
        <f t="shared" si="1"/>
        <v>53</v>
      </c>
      <c r="B69" s="66" t="s">
        <v>633</v>
      </c>
      <c r="C69" s="15">
        <f t="shared" si="8"/>
        <v>4590875</v>
      </c>
      <c r="D69" s="15">
        <f t="shared" si="9"/>
        <v>-0.01</v>
      </c>
      <c r="E69" s="15"/>
      <c r="F69" s="15"/>
      <c r="G69" s="15">
        <f t="shared" si="10"/>
        <v>2295437</v>
      </c>
      <c r="H69" s="15"/>
      <c r="I69" s="15">
        <f t="shared" si="11"/>
        <v>0</v>
      </c>
      <c r="J69" s="15">
        <f t="shared" si="11"/>
        <v>0</v>
      </c>
      <c r="K69" s="15">
        <f t="shared" si="11"/>
        <v>2295437.495</v>
      </c>
      <c r="L69" s="15"/>
      <c r="M69" s="82">
        <v>0</v>
      </c>
      <c r="N69" s="82">
        <v>0</v>
      </c>
      <c r="O69" s="82">
        <v>4590875</v>
      </c>
      <c r="P69" s="15"/>
      <c r="Q69" s="82">
        <v>0</v>
      </c>
      <c r="R69" s="82">
        <v>0</v>
      </c>
      <c r="S69" s="82">
        <v>-0.01</v>
      </c>
    </row>
    <row r="70" spans="1:19" ht="14.25">
      <c r="A70" s="17">
        <f t="shared" si="1"/>
        <v>54</v>
      </c>
      <c r="B70" s="35" t="s">
        <v>426</v>
      </c>
      <c r="C70" s="15">
        <f t="shared" si="8"/>
        <v>0</v>
      </c>
      <c r="D70" s="15">
        <f t="shared" si="9"/>
        <v>0</v>
      </c>
      <c r="E70" s="15"/>
      <c r="F70" s="15"/>
      <c r="G70" s="15">
        <f t="shared" si="10"/>
        <v>0</v>
      </c>
      <c r="H70" s="15"/>
      <c r="I70" s="15">
        <f t="shared" si="11"/>
        <v>0</v>
      </c>
      <c r="J70" s="15">
        <f t="shared" si="11"/>
        <v>0</v>
      </c>
      <c r="K70" s="15">
        <f t="shared" si="11"/>
        <v>0</v>
      </c>
      <c r="L70" s="15"/>
      <c r="M70" s="82">
        <v>0</v>
      </c>
      <c r="N70" s="82">
        <v>0</v>
      </c>
      <c r="O70" s="82">
        <v>0</v>
      </c>
      <c r="P70" s="15"/>
      <c r="Q70" s="82">
        <v>0</v>
      </c>
      <c r="R70" s="82">
        <v>0</v>
      </c>
      <c r="S70" s="82">
        <v>0</v>
      </c>
    </row>
    <row r="71" spans="1:19" ht="14.25">
      <c r="A71" s="17">
        <f t="shared" si="1"/>
        <v>55</v>
      </c>
      <c r="B71" s="35" t="s">
        <v>427</v>
      </c>
      <c r="C71" s="15">
        <f t="shared" si="8"/>
        <v>-10404304</v>
      </c>
      <c r="D71" s="15">
        <f t="shared" si="9"/>
        <v>-10404303.7</v>
      </c>
      <c r="E71" s="15"/>
      <c r="F71" s="15"/>
      <c r="G71" s="15">
        <f>ROUND(SUM(C71:F71)/2,0)</f>
        <v>-10404304</v>
      </c>
      <c r="H71" s="15"/>
      <c r="I71" s="15">
        <f t="shared" si="11"/>
        <v>0</v>
      </c>
      <c r="J71" s="15">
        <f t="shared" si="11"/>
        <v>0</v>
      </c>
      <c r="K71" s="15">
        <f t="shared" si="11"/>
        <v>-10404303.85</v>
      </c>
      <c r="L71" s="15"/>
      <c r="M71" s="82">
        <v>0</v>
      </c>
      <c r="N71" s="82">
        <v>0</v>
      </c>
      <c r="O71" s="82">
        <v>-10404304</v>
      </c>
      <c r="P71" s="15"/>
      <c r="Q71" s="82">
        <v>0</v>
      </c>
      <c r="R71" s="82">
        <v>0</v>
      </c>
      <c r="S71" s="82">
        <v>-10404303.7</v>
      </c>
    </row>
    <row r="72" spans="1:19" ht="14.25">
      <c r="A72" s="17">
        <f t="shared" si="1"/>
        <v>56</v>
      </c>
      <c r="B72" s="66" t="s">
        <v>634</v>
      </c>
      <c r="C72" s="15">
        <f t="shared" si="8"/>
        <v>30346944</v>
      </c>
      <c r="D72" s="15">
        <f t="shared" si="9"/>
        <v>25623660.45</v>
      </c>
      <c r="E72" s="15"/>
      <c r="F72" s="15"/>
      <c r="G72" s="15">
        <f t="shared" si="10"/>
        <v>27985302</v>
      </c>
      <c r="H72" s="15"/>
      <c r="I72" s="15">
        <f t="shared" si="11"/>
        <v>0</v>
      </c>
      <c r="J72" s="15">
        <f t="shared" si="11"/>
        <v>0</v>
      </c>
      <c r="K72" s="15">
        <f t="shared" si="11"/>
        <v>27985302.225</v>
      </c>
      <c r="L72" s="15"/>
      <c r="M72" s="82">
        <v>0</v>
      </c>
      <c r="N72" s="82">
        <v>0</v>
      </c>
      <c r="O72" s="82">
        <v>30346944</v>
      </c>
      <c r="P72" s="15"/>
      <c r="Q72" s="82">
        <v>0</v>
      </c>
      <c r="R72" s="82">
        <v>0</v>
      </c>
      <c r="S72" s="82">
        <v>25623660.45</v>
      </c>
    </row>
    <row r="73" spans="1:19" ht="14.25">
      <c r="A73" s="17">
        <f t="shared" si="1"/>
        <v>57</v>
      </c>
      <c r="B73" s="66" t="s">
        <v>428</v>
      </c>
      <c r="C73" s="15">
        <f t="shared" si="8"/>
        <v>0</v>
      </c>
      <c r="D73" s="15">
        <f t="shared" si="9"/>
        <v>0</v>
      </c>
      <c r="E73" s="15"/>
      <c r="F73" s="15"/>
      <c r="G73" s="15">
        <f t="shared" si="10"/>
        <v>0</v>
      </c>
      <c r="H73" s="15"/>
      <c r="I73" s="15">
        <f t="shared" si="11"/>
        <v>0</v>
      </c>
      <c r="J73" s="15">
        <f t="shared" si="11"/>
        <v>0</v>
      </c>
      <c r="K73" s="15">
        <f t="shared" si="11"/>
        <v>0</v>
      </c>
      <c r="L73" s="15"/>
      <c r="M73" s="82">
        <v>0</v>
      </c>
      <c r="N73" s="82">
        <v>0</v>
      </c>
      <c r="O73" s="82">
        <v>0</v>
      </c>
      <c r="P73" s="15"/>
      <c r="Q73" s="82">
        <v>0</v>
      </c>
      <c r="R73" s="82">
        <v>0</v>
      </c>
      <c r="S73" s="82">
        <v>0</v>
      </c>
    </row>
    <row r="74" spans="1:19" ht="14.25">
      <c r="A74" s="17">
        <f t="shared" si="1"/>
        <v>58</v>
      </c>
      <c r="B74" s="47" t="s">
        <v>572</v>
      </c>
      <c r="C74" s="15">
        <f t="shared" si="8"/>
        <v>-735397</v>
      </c>
      <c r="D74" s="15">
        <f t="shared" si="9"/>
        <v>0</v>
      </c>
      <c r="E74" s="15"/>
      <c r="F74" s="15"/>
      <c r="G74" s="15">
        <f>ROUND(SUM(C74:F74)/2,0)</f>
        <v>-367699</v>
      </c>
      <c r="H74" s="15"/>
      <c r="I74" s="15">
        <f t="shared" si="11"/>
        <v>0</v>
      </c>
      <c r="J74" s="15">
        <f t="shared" si="11"/>
        <v>0</v>
      </c>
      <c r="K74" s="15">
        <f t="shared" si="11"/>
        <v>-367698.5</v>
      </c>
      <c r="L74" s="15"/>
      <c r="M74" s="82">
        <v>0</v>
      </c>
      <c r="N74" s="82">
        <v>0</v>
      </c>
      <c r="O74" s="82">
        <v>-735397</v>
      </c>
      <c r="P74" s="15"/>
      <c r="Q74" s="82">
        <v>0</v>
      </c>
      <c r="R74" s="82">
        <v>0</v>
      </c>
      <c r="S74" s="82">
        <v>0</v>
      </c>
    </row>
    <row r="75" spans="1:19" ht="14.25">
      <c r="A75" s="17">
        <f t="shared" si="1"/>
        <v>59</v>
      </c>
      <c r="B75" s="66" t="s">
        <v>635</v>
      </c>
      <c r="C75" s="15">
        <f t="shared" si="8"/>
        <v>3657375</v>
      </c>
      <c r="D75" s="15">
        <f t="shared" si="9"/>
        <v>3657375.4</v>
      </c>
      <c r="E75" s="15"/>
      <c r="F75" s="15"/>
      <c r="G75" s="15">
        <f t="shared" si="10"/>
        <v>3657375</v>
      </c>
      <c r="H75" s="15"/>
      <c r="I75" s="15">
        <f t="shared" si="11"/>
        <v>0</v>
      </c>
      <c r="J75" s="15">
        <f t="shared" si="11"/>
        <v>0</v>
      </c>
      <c r="K75" s="15">
        <f t="shared" si="11"/>
        <v>3657375.2</v>
      </c>
      <c r="L75" s="15"/>
      <c r="M75" s="82">
        <v>0</v>
      </c>
      <c r="N75" s="82">
        <v>0</v>
      </c>
      <c r="O75" s="82">
        <v>3657375</v>
      </c>
      <c r="P75" s="15"/>
      <c r="Q75" s="82">
        <v>0</v>
      </c>
      <c r="R75" s="82">
        <v>0</v>
      </c>
      <c r="S75" s="82">
        <v>3657375.4</v>
      </c>
    </row>
    <row r="76" spans="1:19" ht="14.25">
      <c r="A76" s="17">
        <f t="shared" si="1"/>
        <v>60</v>
      </c>
      <c r="B76" s="66" t="s">
        <v>429</v>
      </c>
      <c r="C76" s="15">
        <f t="shared" si="8"/>
        <v>0</v>
      </c>
      <c r="D76" s="15">
        <f t="shared" si="9"/>
        <v>0</v>
      </c>
      <c r="E76" s="15"/>
      <c r="F76" s="15"/>
      <c r="G76" s="15">
        <f>ROUND(SUM(C76:F76)/2,0)</f>
        <v>0</v>
      </c>
      <c r="H76" s="15"/>
      <c r="I76" s="15">
        <f t="shared" si="11"/>
        <v>0</v>
      </c>
      <c r="J76" s="15">
        <f t="shared" si="11"/>
        <v>0</v>
      </c>
      <c r="K76" s="15">
        <f t="shared" si="11"/>
        <v>0</v>
      </c>
      <c r="L76" s="15"/>
      <c r="M76" s="82">
        <v>0</v>
      </c>
      <c r="N76" s="82">
        <v>0</v>
      </c>
      <c r="O76" s="82">
        <v>0</v>
      </c>
      <c r="P76" s="15"/>
      <c r="Q76" s="82">
        <v>0</v>
      </c>
      <c r="R76" s="82">
        <v>0</v>
      </c>
      <c r="S76" s="82">
        <v>0</v>
      </c>
    </row>
    <row r="77" spans="1:19" ht="14.25">
      <c r="A77" s="17">
        <f t="shared" si="1"/>
        <v>61</v>
      </c>
      <c r="B77" s="35" t="s">
        <v>534</v>
      </c>
      <c r="C77" s="15">
        <f t="shared" si="8"/>
        <v>31858.03</v>
      </c>
      <c r="D77" s="15">
        <f t="shared" si="9"/>
        <v>27325.190000000002</v>
      </c>
      <c r="E77" s="15"/>
      <c r="F77" s="15"/>
      <c r="G77" s="15">
        <f t="shared" si="10"/>
        <v>29592</v>
      </c>
      <c r="H77" s="15"/>
      <c r="I77" s="15">
        <f t="shared" si="11"/>
        <v>0</v>
      </c>
      <c r="J77" s="15">
        <f t="shared" si="11"/>
        <v>20823.88</v>
      </c>
      <c r="K77" s="15">
        <f t="shared" si="11"/>
        <v>8767.73</v>
      </c>
      <c r="L77" s="15"/>
      <c r="M77" s="82">
        <v>0</v>
      </c>
      <c r="N77" s="82">
        <v>20623.68</v>
      </c>
      <c r="O77" s="82">
        <v>11234.35</v>
      </c>
      <c r="P77" s="15"/>
      <c r="Q77" s="82">
        <v>0</v>
      </c>
      <c r="R77" s="82">
        <v>21024.08</v>
      </c>
      <c r="S77" s="82">
        <v>6301.11</v>
      </c>
    </row>
    <row r="78" spans="1:19" ht="14.25">
      <c r="A78" s="17">
        <f t="shared" si="1"/>
        <v>62</v>
      </c>
      <c r="B78" s="35" t="s">
        <v>430</v>
      </c>
      <c r="C78" s="15">
        <f t="shared" si="8"/>
        <v>0</v>
      </c>
      <c r="D78" s="15">
        <f t="shared" si="9"/>
        <v>0</v>
      </c>
      <c r="E78" s="15"/>
      <c r="F78" s="15"/>
      <c r="G78" s="15">
        <f>ROUND(SUM(C78:F78)/2,0)</f>
        <v>0</v>
      </c>
      <c r="H78" s="15"/>
      <c r="I78" s="15">
        <f t="shared" si="11"/>
        <v>0</v>
      </c>
      <c r="J78" s="15">
        <f t="shared" si="11"/>
        <v>0</v>
      </c>
      <c r="K78" s="15">
        <f t="shared" si="11"/>
        <v>0</v>
      </c>
      <c r="L78" s="15"/>
      <c r="M78" s="82">
        <v>0</v>
      </c>
      <c r="N78" s="82">
        <v>0</v>
      </c>
      <c r="O78" s="82">
        <v>0</v>
      </c>
      <c r="P78" s="15"/>
      <c r="Q78" s="82">
        <v>0</v>
      </c>
      <c r="R78" s="82">
        <v>0</v>
      </c>
      <c r="S78" s="82">
        <v>0</v>
      </c>
    </row>
    <row r="79" spans="1:19" ht="14.25">
      <c r="A79" s="17">
        <f t="shared" si="1"/>
        <v>63</v>
      </c>
      <c r="B79" s="35" t="s">
        <v>636</v>
      </c>
      <c r="C79" s="15">
        <f t="shared" si="8"/>
        <v>86803330.25</v>
      </c>
      <c r="D79" s="15">
        <f t="shared" si="9"/>
        <v>72565580.15</v>
      </c>
      <c r="E79" s="15"/>
      <c r="F79" s="15"/>
      <c r="G79" s="15">
        <f>ROUND(SUM(C79:F79)/2,0)</f>
        <v>79684455</v>
      </c>
      <c r="H79" s="15"/>
      <c r="I79" s="15">
        <f t="shared" si="11"/>
        <v>0</v>
      </c>
      <c r="J79" s="15">
        <f t="shared" si="11"/>
        <v>0</v>
      </c>
      <c r="K79" s="15">
        <f t="shared" si="11"/>
        <v>79684455.2</v>
      </c>
      <c r="L79" s="15"/>
      <c r="M79" s="82">
        <v>0</v>
      </c>
      <c r="N79" s="82">
        <v>0</v>
      </c>
      <c r="O79" s="82">
        <v>86803330.25</v>
      </c>
      <c r="P79" s="15"/>
      <c r="Q79" s="82">
        <v>0</v>
      </c>
      <c r="R79" s="82">
        <v>0</v>
      </c>
      <c r="S79" s="82">
        <v>72565580.15</v>
      </c>
    </row>
    <row r="80" spans="1:19" ht="14.25">
      <c r="A80" s="17">
        <f t="shared" si="1"/>
        <v>64</v>
      </c>
      <c r="B80" s="35" t="s">
        <v>76</v>
      </c>
      <c r="C80" s="15">
        <f t="shared" si="8"/>
        <v>0</v>
      </c>
      <c r="D80" s="15">
        <f t="shared" si="9"/>
        <v>0</v>
      </c>
      <c r="E80" s="15"/>
      <c r="F80" s="15"/>
      <c r="G80" s="15">
        <f t="shared" si="10"/>
        <v>0</v>
      </c>
      <c r="H80" s="15"/>
      <c r="I80" s="15">
        <f t="shared" si="11"/>
        <v>0</v>
      </c>
      <c r="J80" s="15">
        <f t="shared" si="11"/>
        <v>0</v>
      </c>
      <c r="K80" s="15">
        <f t="shared" si="11"/>
        <v>0</v>
      </c>
      <c r="L80" s="15"/>
      <c r="M80" s="82">
        <v>0</v>
      </c>
      <c r="N80" s="82">
        <v>0</v>
      </c>
      <c r="O80" s="82">
        <v>0</v>
      </c>
      <c r="P80" s="15"/>
      <c r="Q80" s="82">
        <v>0</v>
      </c>
      <c r="R80" s="82">
        <v>0</v>
      </c>
      <c r="S80" s="82">
        <v>0</v>
      </c>
    </row>
    <row r="81" spans="1:19" ht="14.25">
      <c r="A81" s="17">
        <f t="shared" si="1"/>
        <v>65</v>
      </c>
      <c r="B81" s="66" t="s">
        <v>77</v>
      </c>
      <c r="C81" s="15">
        <f t="shared" si="8"/>
        <v>0</v>
      </c>
      <c r="D81" s="15">
        <f t="shared" si="9"/>
        <v>0</v>
      </c>
      <c r="E81" s="15"/>
      <c r="F81" s="15"/>
      <c r="G81" s="15">
        <f t="shared" si="10"/>
        <v>0</v>
      </c>
      <c r="H81" s="15"/>
      <c r="I81" s="15">
        <f t="shared" si="11"/>
        <v>0</v>
      </c>
      <c r="J81" s="15">
        <f t="shared" si="11"/>
        <v>0</v>
      </c>
      <c r="K81" s="15">
        <f t="shared" si="11"/>
        <v>0</v>
      </c>
      <c r="L81" s="15"/>
      <c r="M81" s="82">
        <v>0</v>
      </c>
      <c r="N81" s="82">
        <v>0</v>
      </c>
      <c r="O81" s="82">
        <v>0</v>
      </c>
      <c r="P81" s="15"/>
      <c r="Q81" s="82">
        <v>0</v>
      </c>
      <c r="R81" s="82">
        <v>0</v>
      </c>
      <c r="S81" s="82">
        <v>0</v>
      </c>
    </row>
    <row r="82" spans="1:19" ht="14.25">
      <c r="A82" s="17">
        <f aca="true" t="shared" si="12" ref="A82:A145">A81+1</f>
        <v>66</v>
      </c>
      <c r="B82" s="35" t="s">
        <v>78</v>
      </c>
      <c r="C82" s="15">
        <f t="shared" si="8"/>
        <v>62104480.7</v>
      </c>
      <c r="D82" s="15">
        <f t="shared" si="9"/>
        <v>60400747.01</v>
      </c>
      <c r="E82" s="15"/>
      <c r="F82" s="15"/>
      <c r="G82" s="15">
        <f t="shared" si="10"/>
        <v>61252614</v>
      </c>
      <c r="H82" s="15"/>
      <c r="I82" s="15">
        <f t="shared" si="11"/>
        <v>0</v>
      </c>
      <c r="J82" s="15">
        <f t="shared" si="11"/>
        <v>7662664.65</v>
      </c>
      <c r="K82" s="15">
        <f t="shared" si="11"/>
        <v>53589949.205</v>
      </c>
      <c r="L82" s="15"/>
      <c r="M82" s="82">
        <v>0</v>
      </c>
      <c r="N82" s="82">
        <v>7729420.02</v>
      </c>
      <c r="O82" s="82">
        <v>54375060.68</v>
      </c>
      <c r="P82" s="15"/>
      <c r="Q82" s="82">
        <v>0</v>
      </c>
      <c r="R82" s="82">
        <v>7595909.28</v>
      </c>
      <c r="S82" s="82">
        <v>52804837.73</v>
      </c>
    </row>
    <row r="83" spans="1:19" ht="14.25">
      <c r="A83" s="17">
        <f t="shared" si="12"/>
        <v>67</v>
      </c>
      <c r="B83" s="66" t="s">
        <v>79</v>
      </c>
      <c r="C83" s="15">
        <f t="shared" si="8"/>
        <v>-79874240.25</v>
      </c>
      <c r="D83" s="15">
        <f t="shared" si="9"/>
        <v>-79449506.85000001</v>
      </c>
      <c r="E83" s="15"/>
      <c r="F83" s="15"/>
      <c r="G83" s="15">
        <f t="shared" si="10"/>
        <v>-79661874</v>
      </c>
      <c r="H83" s="15"/>
      <c r="I83" s="15">
        <f t="shared" si="11"/>
        <v>0</v>
      </c>
      <c r="J83" s="15">
        <f t="shared" si="11"/>
        <v>-11489677.5</v>
      </c>
      <c r="K83" s="15">
        <f t="shared" si="11"/>
        <v>-68172196.05000001</v>
      </c>
      <c r="L83" s="15"/>
      <c r="M83" s="82">
        <v>0</v>
      </c>
      <c r="N83" s="82">
        <v>-11061340.85</v>
      </c>
      <c r="O83" s="82">
        <v>-68812899.4</v>
      </c>
      <c r="P83" s="15"/>
      <c r="Q83" s="82">
        <v>0</v>
      </c>
      <c r="R83" s="82">
        <v>-11918014.15</v>
      </c>
      <c r="S83" s="82">
        <v>-67531492.7</v>
      </c>
    </row>
    <row r="84" spans="1:19" ht="14.25">
      <c r="A84" s="17">
        <f t="shared" si="12"/>
        <v>68</v>
      </c>
      <c r="B84" s="66" t="s">
        <v>263</v>
      </c>
      <c r="C84" s="15">
        <f t="shared" si="8"/>
        <v>1635896.31</v>
      </c>
      <c r="D84" s="15">
        <f t="shared" si="9"/>
        <v>1107203.07</v>
      </c>
      <c r="E84" s="15"/>
      <c r="F84" s="15"/>
      <c r="G84" s="15">
        <f t="shared" si="10"/>
        <v>1371550</v>
      </c>
      <c r="H84" s="15"/>
      <c r="I84" s="15">
        <f t="shared" si="11"/>
        <v>0</v>
      </c>
      <c r="J84" s="15">
        <f t="shared" si="11"/>
        <v>1371549.69</v>
      </c>
      <c r="K84" s="15">
        <f t="shared" si="11"/>
        <v>0</v>
      </c>
      <c r="L84" s="15"/>
      <c r="M84" s="82">
        <v>0</v>
      </c>
      <c r="N84" s="82">
        <v>1635896.31</v>
      </c>
      <c r="O84" s="82">
        <v>0</v>
      </c>
      <c r="P84" s="15"/>
      <c r="Q84" s="82">
        <v>0</v>
      </c>
      <c r="R84" s="82">
        <v>1107203.07</v>
      </c>
      <c r="S84" s="82">
        <v>0</v>
      </c>
    </row>
    <row r="85" spans="1:19" ht="14.25">
      <c r="A85" s="17">
        <f t="shared" si="12"/>
        <v>69</v>
      </c>
      <c r="B85" s="66" t="s">
        <v>637</v>
      </c>
      <c r="C85" s="15">
        <f t="shared" si="8"/>
        <v>32449.09</v>
      </c>
      <c r="D85" s="15">
        <f t="shared" si="9"/>
        <v>32477.05</v>
      </c>
      <c r="E85" s="15"/>
      <c r="F85" s="15"/>
      <c r="G85" s="15">
        <f t="shared" si="10"/>
        <v>32463</v>
      </c>
      <c r="H85" s="15"/>
      <c r="I85" s="15">
        <f t="shared" si="11"/>
        <v>0</v>
      </c>
      <c r="J85" s="15">
        <f t="shared" si="11"/>
        <v>32463.07</v>
      </c>
      <c r="K85" s="15">
        <f t="shared" si="11"/>
        <v>0</v>
      </c>
      <c r="L85" s="15"/>
      <c r="M85" s="82">
        <v>0</v>
      </c>
      <c r="N85" s="82">
        <v>32449.09</v>
      </c>
      <c r="O85" s="82">
        <v>0</v>
      </c>
      <c r="P85" s="15"/>
      <c r="Q85" s="82">
        <v>0</v>
      </c>
      <c r="R85" s="82">
        <v>32477.05</v>
      </c>
      <c r="S85" s="82">
        <v>0</v>
      </c>
    </row>
    <row r="86" spans="1:19" ht="14.25">
      <c r="A86" s="17">
        <f t="shared" si="12"/>
        <v>70</v>
      </c>
      <c r="B86" s="14" t="s">
        <v>431</v>
      </c>
      <c r="C86" s="15">
        <f t="shared" si="8"/>
        <v>0</v>
      </c>
      <c r="D86" s="15">
        <f t="shared" si="9"/>
        <v>0</v>
      </c>
      <c r="E86" s="15"/>
      <c r="F86" s="15"/>
      <c r="G86" s="15">
        <f t="shared" si="10"/>
        <v>0</v>
      </c>
      <c r="H86" s="15"/>
      <c r="I86" s="15">
        <f t="shared" si="11"/>
        <v>0</v>
      </c>
      <c r="J86" s="15">
        <f t="shared" si="11"/>
        <v>0</v>
      </c>
      <c r="K86" s="15">
        <f t="shared" si="11"/>
        <v>0</v>
      </c>
      <c r="L86" s="15"/>
      <c r="M86" s="82">
        <v>0</v>
      </c>
      <c r="N86" s="82">
        <v>0</v>
      </c>
      <c r="O86" s="82">
        <v>0</v>
      </c>
      <c r="P86" s="15"/>
      <c r="Q86" s="82">
        <v>0</v>
      </c>
      <c r="R86" s="82">
        <v>0</v>
      </c>
      <c r="S86" s="82">
        <v>0</v>
      </c>
    </row>
    <row r="87" spans="1:19" ht="14.25">
      <c r="A87" s="17">
        <f t="shared" si="12"/>
        <v>71</v>
      </c>
      <c r="B87" s="14" t="s">
        <v>432</v>
      </c>
      <c r="C87" s="15">
        <f t="shared" si="8"/>
        <v>0</v>
      </c>
      <c r="D87" s="15">
        <f t="shared" si="9"/>
        <v>0</v>
      </c>
      <c r="E87" s="15"/>
      <c r="F87" s="15"/>
      <c r="G87" s="15">
        <f t="shared" si="10"/>
        <v>0</v>
      </c>
      <c r="H87" s="15"/>
      <c r="I87" s="15">
        <f t="shared" si="11"/>
        <v>0</v>
      </c>
      <c r="J87" s="15">
        <f t="shared" si="11"/>
        <v>0</v>
      </c>
      <c r="K87" s="15">
        <f t="shared" si="11"/>
        <v>0</v>
      </c>
      <c r="L87" s="15"/>
      <c r="M87" s="82">
        <v>0</v>
      </c>
      <c r="N87" s="82">
        <v>0</v>
      </c>
      <c r="O87" s="82">
        <v>0</v>
      </c>
      <c r="P87" s="15"/>
      <c r="Q87" s="82">
        <v>0</v>
      </c>
      <c r="R87" s="82">
        <v>0</v>
      </c>
      <c r="S87" s="82">
        <v>0</v>
      </c>
    </row>
    <row r="88" spans="1:19" ht="14.25">
      <c r="A88" s="17">
        <f t="shared" si="12"/>
        <v>72</v>
      </c>
      <c r="B88" s="14" t="s">
        <v>266</v>
      </c>
      <c r="C88" s="15">
        <f t="shared" si="8"/>
        <v>6485073.7</v>
      </c>
      <c r="D88" s="15">
        <f t="shared" si="9"/>
        <v>10173543.45</v>
      </c>
      <c r="E88" s="15"/>
      <c r="F88" s="15"/>
      <c r="G88" s="15">
        <f t="shared" si="10"/>
        <v>8329309</v>
      </c>
      <c r="H88" s="15"/>
      <c r="I88" s="15">
        <f t="shared" si="11"/>
        <v>0</v>
      </c>
      <c r="J88" s="15">
        <f t="shared" si="11"/>
        <v>0</v>
      </c>
      <c r="K88" s="15">
        <f t="shared" si="11"/>
        <v>8329308.574999999</v>
      </c>
      <c r="L88" s="15"/>
      <c r="M88" s="82">
        <v>0</v>
      </c>
      <c r="N88" s="82">
        <v>0</v>
      </c>
      <c r="O88" s="82">
        <v>6485073.7</v>
      </c>
      <c r="P88" s="15"/>
      <c r="Q88" s="82">
        <v>0</v>
      </c>
      <c r="R88" s="82">
        <v>0</v>
      </c>
      <c r="S88" s="82">
        <v>10173543.45</v>
      </c>
    </row>
    <row r="89" spans="1:19" ht="14.25">
      <c r="A89" s="17">
        <f t="shared" si="12"/>
        <v>73</v>
      </c>
      <c r="B89" s="35" t="s">
        <v>433</v>
      </c>
      <c r="C89" s="15">
        <f t="shared" si="8"/>
        <v>0</v>
      </c>
      <c r="D89" s="15">
        <f t="shared" si="9"/>
        <v>0</v>
      </c>
      <c r="E89" s="15"/>
      <c r="F89" s="15"/>
      <c r="G89" s="15">
        <f t="shared" si="10"/>
        <v>0</v>
      </c>
      <c r="H89" s="15"/>
      <c r="I89" s="15">
        <f t="shared" si="11"/>
        <v>0</v>
      </c>
      <c r="J89" s="15">
        <f t="shared" si="11"/>
        <v>0</v>
      </c>
      <c r="K89" s="15">
        <f t="shared" si="11"/>
        <v>0</v>
      </c>
      <c r="L89" s="15"/>
      <c r="M89" s="82">
        <v>0</v>
      </c>
      <c r="N89" s="82">
        <v>0</v>
      </c>
      <c r="O89" s="82">
        <v>0</v>
      </c>
      <c r="P89" s="15"/>
      <c r="Q89" s="82">
        <v>0</v>
      </c>
      <c r="R89" s="82">
        <v>0</v>
      </c>
      <c r="S89" s="82">
        <v>0</v>
      </c>
    </row>
    <row r="90" spans="1:19" ht="14.25">
      <c r="A90" s="17">
        <f t="shared" si="12"/>
        <v>74</v>
      </c>
      <c r="B90" s="35" t="s">
        <v>434</v>
      </c>
      <c r="C90" s="15">
        <f t="shared" si="8"/>
        <v>0</v>
      </c>
      <c r="D90" s="15">
        <f t="shared" si="9"/>
        <v>0</v>
      </c>
      <c r="E90" s="15"/>
      <c r="F90" s="15"/>
      <c r="G90" s="15">
        <f t="shared" si="10"/>
        <v>0</v>
      </c>
      <c r="H90" s="15"/>
      <c r="I90" s="15">
        <f t="shared" si="11"/>
        <v>0</v>
      </c>
      <c r="J90" s="15">
        <f t="shared" si="11"/>
        <v>0</v>
      </c>
      <c r="K90" s="15">
        <f t="shared" si="11"/>
        <v>0</v>
      </c>
      <c r="L90" s="15"/>
      <c r="M90" s="82">
        <v>0</v>
      </c>
      <c r="N90" s="82">
        <v>0</v>
      </c>
      <c r="O90" s="82">
        <v>0</v>
      </c>
      <c r="P90" s="15"/>
      <c r="Q90" s="82">
        <v>0</v>
      </c>
      <c r="R90" s="82">
        <v>0</v>
      </c>
      <c r="S90" s="82">
        <v>0</v>
      </c>
    </row>
    <row r="91" spans="1:19" ht="14.25">
      <c r="A91" s="17">
        <f t="shared" si="12"/>
        <v>75</v>
      </c>
      <c r="B91" s="35" t="s">
        <v>435</v>
      </c>
      <c r="C91" s="15">
        <f t="shared" si="8"/>
        <v>0</v>
      </c>
      <c r="D91" s="15">
        <f t="shared" si="9"/>
        <v>0</v>
      </c>
      <c r="E91" s="15"/>
      <c r="F91" s="15"/>
      <c r="G91" s="15">
        <f t="shared" si="10"/>
        <v>0</v>
      </c>
      <c r="H91" s="15"/>
      <c r="I91" s="15">
        <f t="shared" si="11"/>
        <v>0</v>
      </c>
      <c r="J91" s="15">
        <f t="shared" si="11"/>
        <v>0</v>
      </c>
      <c r="K91" s="15">
        <f t="shared" si="11"/>
        <v>0</v>
      </c>
      <c r="L91" s="15"/>
      <c r="M91" s="82">
        <v>0</v>
      </c>
      <c r="N91" s="82">
        <v>0</v>
      </c>
      <c r="O91" s="82">
        <v>0</v>
      </c>
      <c r="P91" s="15"/>
      <c r="Q91" s="82">
        <v>0</v>
      </c>
      <c r="R91" s="82">
        <v>0</v>
      </c>
      <c r="S91" s="82">
        <v>0</v>
      </c>
    </row>
    <row r="92" spans="1:19" ht="14.25">
      <c r="A92" s="17">
        <f t="shared" si="12"/>
        <v>76</v>
      </c>
      <c r="B92" s="35" t="s">
        <v>268</v>
      </c>
      <c r="C92" s="15">
        <f t="shared" si="8"/>
        <v>0</v>
      </c>
      <c r="D92" s="15">
        <f t="shared" si="9"/>
        <v>0</v>
      </c>
      <c r="E92" s="15"/>
      <c r="F92" s="15"/>
      <c r="G92" s="15">
        <f t="shared" si="10"/>
        <v>0</v>
      </c>
      <c r="H92" s="15"/>
      <c r="I92" s="15">
        <f t="shared" si="11"/>
        <v>0</v>
      </c>
      <c r="J92" s="15">
        <f t="shared" si="11"/>
        <v>0</v>
      </c>
      <c r="K92" s="15">
        <f t="shared" si="11"/>
        <v>0</v>
      </c>
      <c r="L92" s="15"/>
      <c r="M92" s="82">
        <v>0</v>
      </c>
      <c r="N92" s="82">
        <v>0</v>
      </c>
      <c r="O92" s="82">
        <v>0</v>
      </c>
      <c r="P92" s="15"/>
      <c r="Q92" s="82">
        <v>0</v>
      </c>
      <c r="R92" s="82">
        <v>0</v>
      </c>
      <c r="S92" s="82">
        <v>0</v>
      </c>
    </row>
    <row r="93" spans="1:19" ht="14.25">
      <c r="A93" s="17">
        <f t="shared" si="12"/>
        <v>77</v>
      </c>
      <c r="B93" s="35" t="s">
        <v>436</v>
      </c>
      <c r="C93" s="15">
        <f t="shared" si="8"/>
        <v>0</v>
      </c>
      <c r="D93" s="15">
        <f t="shared" si="9"/>
        <v>0</v>
      </c>
      <c r="E93" s="15"/>
      <c r="F93" s="15"/>
      <c r="G93" s="15">
        <f t="shared" si="10"/>
        <v>0</v>
      </c>
      <c r="H93" s="15"/>
      <c r="I93" s="15">
        <f t="shared" si="11"/>
        <v>0</v>
      </c>
      <c r="J93" s="15">
        <f t="shared" si="11"/>
        <v>0</v>
      </c>
      <c r="K93" s="15">
        <f t="shared" si="11"/>
        <v>0</v>
      </c>
      <c r="L93" s="15"/>
      <c r="M93" s="82">
        <v>0</v>
      </c>
      <c r="N93" s="82">
        <v>0</v>
      </c>
      <c r="O93" s="82">
        <v>0</v>
      </c>
      <c r="P93" s="15"/>
      <c r="Q93" s="82">
        <v>0</v>
      </c>
      <c r="R93" s="82">
        <v>0</v>
      </c>
      <c r="S93" s="82">
        <v>0</v>
      </c>
    </row>
    <row r="94" spans="1:19" ht="14.25">
      <c r="A94" s="17">
        <f t="shared" si="12"/>
        <v>78</v>
      </c>
      <c r="B94" s="35" t="s">
        <v>269</v>
      </c>
      <c r="C94" s="15">
        <f t="shared" si="8"/>
        <v>0</v>
      </c>
      <c r="D94" s="15">
        <f t="shared" si="9"/>
        <v>0</v>
      </c>
      <c r="E94" s="15"/>
      <c r="F94" s="15"/>
      <c r="G94" s="15">
        <f t="shared" si="10"/>
        <v>0</v>
      </c>
      <c r="H94" s="15"/>
      <c r="I94" s="15">
        <f t="shared" si="11"/>
        <v>0</v>
      </c>
      <c r="J94" s="15">
        <f t="shared" si="11"/>
        <v>0</v>
      </c>
      <c r="K94" s="15">
        <f t="shared" si="11"/>
        <v>0</v>
      </c>
      <c r="L94" s="15"/>
      <c r="M94" s="82">
        <v>0</v>
      </c>
      <c r="N94" s="82">
        <v>0</v>
      </c>
      <c r="O94" s="82">
        <v>0</v>
      </c>
      <c r="P94" s="15"/>
      <c r="Q94" s="82">
        <v>0</v>
      </c>
      <c r="R94" s="82">
        <v>0</v>
      </c>
      <c r="S94" s="82">
        <v>0</v>
      </c>
    </row>
    <row r="95" spans="1:19" ht="14.25">
      <c r="A95" s="17">
        <f t="shared" si="12"/>
        <v>79</v>
      </c>
      <c r="B95" s="35" t="s">
        <v>83</v>
      </c>
      <c r="C95" s="15">
        <f t="shared" si="8"/>
        <v>0</v>
      </c>
      <c r="D95" s="15">
        <f t="shared" si="9"/>
        <v>0</v>
      </c>
      <c r="E95" s="15"/>
      <c r="F95" s="15"/>
      <c r="G95" s="15">
        <f t="shared" si="10"/>
        <v>0</v>
      </c>
      <c r="H95" s="15"/>
      <c r="I95" s="15">
        <f t="shared" si="11"/>
        <v>0</v>
      </c>
      <c r="J95" s="15">
        <f t="shared" si="11"/>
        <v>0</v>
      </c>
      <c r="K95" s="15">
        <f t="shared" si="11"/>
        <v>0</v>
      </c>
      <c r="L95" s="15"/>
      <c r="M95" s="82">
        <v>0</v>
      </c>
      <c r="N95" s="82">
        <v>0</v>
      </c>
      <c r="O95" s="82">
        <v>0</v>
      </c>
      <c r="P95" s="15"/>
      <c r="Q95" s="82">
        <v>0</v>
      </c>
      <c r="R95" s="82">
        <v>0</v>
      </c>
      <c r="S95" s="82">
        <v>0</v>
      </c>
    </row>
    <row r="96" spans="1:19" ht="14.25">
      <c r="A96" s="17">
        <f t="shared" si="12"/>
        <v>80</v>
      </c>
      <c r="B96" s="35" t="s">
        <v>437</v>
      </c>
      <c r="C96" s="15">
        <f t="shared" si="8"/>
        <v>0</v>
      </c>
      <c r="D96" s="15">
        <f t="shared" si="9"/>
        <v>0</v>
      </c>
      <c r="E96" s="15"/>
      <c r="F96" s="15"/>
      <c r="G96" s="15">
        <f t="shared" si="10"/>
        <v>0</v>
      </c>
      <c r="H96" s="15"/>
      <c r="I96" s="15">
        <f t="shared" si="11"/>
        <v>0</v>
      </c>
      <c r="J96" s="15">
        <f t="shared" si="11"/>
        <v>0</v>
      </c>
      <c r="K96" s="15">
        <f t="shared" si="11"/>
        <v>0</v>
      </c>
      <c r="L96" s="15"/>
      <c r="M96" s="82">
        <v>0</v>
      </c>
      <c r="N96" s="82">
        <v>0</v>
      </c>
      <c r="O96" s="82">
        <v>0</v>
      </c>
      <c r="P96" s="15"/>
      <c r="Q96" s="82">
        <v>0</v>
      </c>
      <c r="R96" s="82">
        <v>0</v>
      </c>
      <c r="S96" s="82">
        <v>0</v>
      </c>
    </row>
    <row r="97" spans="1:19" ht="14.25">
      <c r="A97" s="17">
        <f t="shared" si="12"/>
        <v>81</v>
      </c>
      <c r="B97" s="66" t="s">
        <v>638</v>
      </c>
      <c r="C97" s="15">
        <f t="shared" si="8"/>
        <v>-603462.1</v>
      </c>
      <c r="D97" s="15">
        <f t="shared" si="9"/>
        <v>-457347.61</v>
      </c>
      <c r="E97" s="15"/>
      <c r="F97" s="15"/>
      <c r="G97" s="15">
        <f t="shared" si="10"/>
        <v>-530405</v>
      </c>
      <c r="H97" s="15"/>
      <c r="I97" s="15">
        <f t="shared" si="11"/>
        <v>0</v>
      </c>
      <c r="J97" s="15">
        <f t="shared" si="11"/>
        <v>0</v>
      </c>
      <c r="K97" s="15">
        <f t="shared" si="11"/>
        <v>-530404.855</v>
      </c>
      <c r="L97" s="15"/>
      <c r="M97" s="82">
        <v>0</v>
      </c>
      <c r="N97" s="82">
        <v>0</v>
      </c>
      <c r="O97" s="82">
        <v>-603462.1</v>
      </c>
      <c r="P97" s="15"/>
      <c r="Q97" s="82">
        <v>0</v>
      </c>
      <c r="R97" s="82">
        <v>0</v>
      </c>
      <c r="S97" s="82">
        <v>-457347.61</v>
      </c>
    </row>
    <row r="98" spans="1:19" ht="14.25">
      <c r="A98" s="17">
        <f t="shared" si="12"/>
        <v>82</v>
      </c>
      <c r="B98" s="47" t="s">
        <v>639</v>
      </c>
      <c r="C98" s="15">
        <f t="shared" si="8"/>
        <v>0</v>
      </c>
      <c r="D98" s="15">
        <f t="shared" si="9"/>
        <v>0</v>
      </c>
      <c r="E98" s="15"/>
      <c r="F98" s="15"/>
      <c r="G98" s="15">
        <f t="shared" si="10"/>
        <v>0</v>
      </c>
      <c r="H98" s="15"/>
      <c r="I98" s="15">
        <f t="shared" si="11"/>
        <v>0</v>
      </c>
      <c r="J98" s="15">
        <f t="shared" si="11"/>
        <v>0</v>
      </c>
      <c r="K98" s="15">
        <f t="shared" si="11"/>
        <v>0</v>
      </c>
      <c r="L98" s="15"/>
      <c r="M98" s="82">
        <v>0</v>
      </c>
      <c r="N98" s="82">
        <v>0</v>
      </c>
      <c r="O98" s="82">
        <v>0</v>
      </c>
      <c r="P98" s="15"/>
      <c r="Q98" s="82">
        <v>0</v>
      </c>
      <c r="R98" s="82">
        <v>0</v>
      </c>
      <c r="S98" s="82">
        <v>0</v>
      </c>
    </row>
    <row r="99" spans="1:19" ht="14.25">
      <c r="A99" s="17">
        <f t="shared" si="12"/>
        <v>83</v>
      </c>
      <c r="B99" s="47" t="s">
        <v>640</v>
      </c>
      <c r="C99" s="15">
        <f aca="true" t="shared" si="13" ref="C99:C130">SUM(M99:O99)</f>
        <v>0</v>
      </c>
      <c r="D99" s="15">
        <f t="shared" si="9"/>
        <v>0</v>
      </c>
      <c r="E99" s="15"/>
      <c r="F99" s="15"/>
      <c r="G99" s="15">
        <f t="shared" si="10"/>
        <v>0</v>
      </c>
      <c r="H99" s="15"/>
      <c r="I99" s="15">
        <f aca="true" t="shared" si="14" ref="I99:K130">(M99+Q99)/2</f>
        <v>0</v>
      </c>
      <c r="J99" s="15">
        <f t="shared" si="14"/>
        <v>0</v>
      </c>
      <c r="K99" s="15">
        <f t="shared" si="14"/>
        <v>0</v>
      </c>
      <c r="L99" s="15"/>
      <c r="M99" s="82">
        <v>0</v>
      </c>
      <c r="N99" s="82">
        <v>0</v>
      </c>
      <c r="O99" s="82">
        <v>0</v>
      </c>
      <c r="P99" s="15"/>
      <c r="Q99" s="82">
        <v>0</v>
      </c>
      <c r="R99" s="82">
        <v>0</v>
      </c>
      <c r="S99" s="82">
        <v>0</v>
      </c>
    </row>
    <row r="100" spans="1:19" ht="14.25">
      <c r="A100" s="17">
        <f t="shared" si="12"/>
        <v>84</v>
      </c>
      <c r="B100" s="47" t="s">
        <v>641</v>
      </c>
      <c r="C100" s="15">
        <f t="shared" si="13"/>
        <v>0</v>
      </c>
      <c r="D100" s="15">
        <f t="shared" si="9"/>
        <v>0</v>
      </c>
      <c r="E100" s="15"/>
      <c r="F100" s="15"/>
      <c r="G100" s="15">
        <f t="shared" si="10"/>
        <v>0</v>
      </c>
      <c r="H100" s="15"/>
      <c r="I100" s="15">
        <f t="shared" si="14"/>
        <v>0</v>
      </c>
      <c r="J100" s="15">
        <f t="shared" si="14"/>
        <v>0</v>
      </c>
      <c r="K100" s="15">
        <f t="shared" si="14"/>
        <v>0</v>
      </c>
      <c r="L100" s="15"/>
      <c r="M100" s="82">
        <v>0</v>
      </c>
      <c r="N100" s="82">
        <v>0</v>
      </c>
      <c r="O100" s="82">
        <v>0</v>
      </c>
      <c r="P100" s="15"/>
      <c r="Q100" s="82">
        <v>0</v>
      </c>
      <c r="R100" s="82">
        <v>0</v>
      </c>
      <c r="S100" s="82">
        <v>0</v>
      </c>
    </row>
    <row r="101" spans="1:19" ht="14.25">
      <c r="A101" s="17">
        <f t="shared" si="12"/>
        <v>85</v>
      </c>
      <c r="B101" s="47" t="s">
        <v>642</v>
      </c>
      <c r="C101" s="15">
        <f t="shared" si="13"/>
        <v>20214777.61</v>
      </c>
      <c r="D101" s="15">
        <f t="shared" si="9"/>
        <v>1947794.08</v>
      </c>
      <c r="E101" s="15"/>
      <c r="F101" s="15"/>
      <c r="G101" s="15">
        <f t="shared" si="10"/>
        <v>11081286</v>
      </c>
      <c r="H101" s="15"/>
      <c r="I101" s="15">
        <f t="shared" si="14"/>
        <v>0</v>
      </c>
      <c r="J101" s="15">
        <f t="shared" si="14"/>
        <v>11081285.844999999</v>
      </c>
      <c r="K101" s="15">
        <f t="shared" si="14"/>
        <v>0</v>
      </c>
      <c r="L101" s="15"/>
      <c r="M101" s="82">
        <v>0</v>
      </c>
      <c r="N101" s="82">
        <v>20214777.61</v>
      </c>
      <c r="O101" s="82">
        <v>0</v>
      </c>
      <c r="P101" s="15"/>
      <c r="Q101" s="82">
        <v>0</v>
      </c>
      <c r="R101" s="82">
        <v>1947794.08</v>
      </c>
      <c r="S101" s="82">
        <v>0</v>
      </c>
    </row>
    <row r="102" spans="1:19" ht="14.25">
      <c r="A102" s="17">
        <f t="shared" si="12"/>
        <v>86</v>
      </c>
      <c r="B102" s="47" t="s">
        <v>643</v>
      </c>
      <c r="C102" s="15">
        <f t="shared" si="13"/>
        <v>1179068.22</v>
      </c>
      <c r="D102" s="15">
        <f t="shared" si="9"/>
        <v>2126545.17</v>
      </c>
      <c r="E102" s="15"/>
      <c r="F102" s="15"/>
      <c r="G102" s="15">
        <f t="shared" si="10"/>
        <v>1652807</v>
      </c>
      <c r="H102" s="15"/>
      <c r="I102" s="15">
        <f t="shared" si="14"/>
        <v>0</v>
      </c>
      <c r="J102" s="15">
        <f t="shared" si="14"/>
        <v>1652806.6949999998</v>
      </c>
      <c r="K102" s="15">
        <f t="shared" si="14"/>
        <v>0</v>
      </c>
      <c r="L102" s="15"/>
      <c r="M102" s="82">
        <v>0</v>
      </c>
      <c r="N102" s="82">
        <v>1179068.22</v>
      </c>
      <c r="O102" s="82">
        <v>0</v>
      </c>
      <c r="P102" s="15"/>
      <c r="Q102" s="82">
        <v>0</v>
      </c>
      <c r="R102" s="82">
        <v>2126545.17</v>
      </c>
      <c r="S102" s="82">
        <v>0</v>
      </c>
    </row>
    <row r="103" spans="1:19" ht="14.25">
      <c r="A103" s="17">
        <f t="shared" si="12"/>
        <v>87</v>
      </c>
      <c r="B103" s="47" t="s">
        <v>644</v>
      </c>
      <c r="C103" s="15">
        <f t="shared" si="13"/>
        <v>0</v>
      </c>
      <c r="D103" s="15">
        <f t="shared" si="9"/>
        <v>0</v>
      </c>
      <c r="E103" s="15"/>
      <c r="F103" s="15"/>
      <c r="G103" s="15">
        <f t="shared" si="10"/>
        <v>0</v>
      </c>
      <c r="H103" s="15"/>
      <c r="I103" s="15">
        <f t="shared" si="14"/>
        <v>0</v>
      </c>
      <c r="J103" s="15">
        <f t="shared" si="14"/>
        <v>0</v>
      </c>
      <c r="K103" s="15">
        <f t="shared" si="14"/>
        <v>0</v>
      </c>
      <c r="L103" s="15"/>
      <c r="M103" s="82">
        <v>0</v>
      </c>
      <c r="N103" s="82">
        <v>0</v>
      </c>
      <c r="O103" s="82">
        <v>0</v>
      </c>
      <c r="P103" s="15"/>
      <c r="Q103" s="82">
        <v>0</v>
      </c>
      <c r="R103" s="82">
        <v>0</v>
      </c>
      <c r="S103" s="82">
        <v>0</v>
      </c>
    </row>
    <row r="104" spans="1:19" ht="14.25">
      <c r="A104" s="17">
        <f t="shared" si="12"/>
        <v>88</v>
      </c>
      <c r="B104" s="47" t="s">
        <v>378</v>
      </c>
      <c r="C104" s="15">
        <f t="shared" si="13"/>
        <v>79874240.25</v>
      </c>
      <c r="D104" s="15">
        <f t="shared" si="9"/>
        <v>79449506.85000001</v>
      </c>
      <c r="E104" s="15"/>
      <c r="F104" s="15"/>
      <c r="G104" s="15">
        <f t="shared" si="10"/>
        <v>79661874</v>
      </c>
      <c r="H104" s="15"/>
      <c r="I104" s="15">
        <f t="shared" si="14"/>
        <v>0</v>
      </c>
      <c r="J104" s="15">
        <f t="shared" si="14"/>
        <v>11489677.5</v>
      </c>
      <c r="K104" s="15">
        <f t="shared" si="14"/>
        <v>68172196.05000001</v>
      </c>
      <c r="L104" s="15"/>
      <c r="M104" s="82">
        <v>0</v>
      </c>
      <c r="N104" s="82">
        <v>11061340.85</v>
      </c>
      <c r="O104" s="82">
        <v>68812899.4</v>
      </c>
      <c r="P104" s="15"/>
      <c r="Q104" s="82">
        <v>0</v>
      </c>
      <c r="R104" s="82">
        <v>11918014.15</v>
      </c>
      <c r="S104" s="82">
        <v>67531492.7</v>
      </c>
    </row>
    <row r="105" spans="1:19" ht="14.25">
      <c r="A105" s="17">
        <f t="shared" si="12"/>
        <v>89</v>
      </c>
      <c r="B105" s="47" t="s">
        <v>379</v>
      </c>
      <c r="C105" s="15">
        <f t="shared" si="13"/>
        <v>1936.9</v>
      </c>
      <c r="D105" s="15">
        <f t="shared" si="9"/>
        <v>52467.1</v>
      </c>
      <c r="E105" s="15"/>
      <c r="F105" s="15"/>
      <c r="G105" s="15">
        <f t="shared" si="10"/>
        <v>27202</v>
      </c>
      <c r="H105" s="15"/>
      <c r="I105" s="15">
        <f t="shared" si="14"/>
        <v>0</v>
      </c>
      <c r="J105" s="15">
        <f t="shared" si="14"/>
        <v>0</v>
      </c>
      <c r="K105" s="15">
        <f t="shared" si="14"/>
        <v>27202</v>
      </c>
      <c r="L105" s="15"/>
      <c r="M105" s="82">
        <v>0</v>
      </c>
      <c r="N105" s="82">
        <v>0</v>
      </c>
      <c r="O105" s="82">
        <v>1936.9</v>
      </c>
      <c r="P105" s="15"/>
      <c r="Q105" s="82">
        <v>0</v>
      </c>
      <c r="R105" s="82">
        <v>0</v>
      </c>
      <c r="S105" s="82">
        <v>52467.1</v>
      </c>
    </row>
    <row r="106" spans="1:19" ht="14.25">
      <c r="A106" s="17">
        <f t="shared" si="12"/>
        <v>90</v>
      </c>
      <c r="B106" s="66" t="s">
        <v>380</v>
      </c>
      <c r="C106" s="15">
        <f t="shared" si="13"/>
        <v>-13823555.29</v>
      </c>
      <c r="D106" s="15">
        <f t="shared" si="9"/>
        <v>-11104273.71</v>
      </c>
      <c r="E106" s="15"/>
      <c r="F106" s="15"/>
      <c r="G106" s="15">
        <f t="shared" si="10"/>
        <v>-12463915</v>
      </c>
      <c r="H106" s="15"/>
      <c r="I106" s="15">
        <f t="shared" si="14"/>
        <v>0</v>
      </c>
      <c r="J106" s="15">
        <f t="shared" si="14"/>
        <v>-1477609.47</v>
      </c>
      <c r="K106" s="15">
        <f t="shared" si="14"/>
        <v>-10986305.030000001</v>
      </c>
      <c r="L106" s="15"/>
      <c r="M106" s="82">
        <v>0</v>
      </c>
      <c r="N106" s="82">
        <v>-1844253.29</v>
      </c>
      <c r="O106" s="82">
        <v>-11979302</v>
      </c>
      <c r="P106" s="15"/>
      <c r="Q106" s="82">
        <v>0</v>
      </c>
      <c r="R106" s="82">
        <v>-1110965.65</v>
      </c>
      <c r="S106" s="82">
        <v>-9993308.06</v>
      </c>
    </row>
    <row r="107" spans="1:19" ht="14.25">
      <c r="A107" s="17">
        <f t="shared" si="12"/>
        <v>91</v>
      </c>
      <c r="B107" s="47" t="s">
        <v>645</v>
      </c>
      <c r="C107" s="15">
        <f t="shared" si="13"/>
        <v>2392758.55</v>
      </c>
      <c r="D107" s="15">
        <f t="shared" si="9"/>
        <v>2276327.2</v>
      </c>
      <c r="E107" s="15"/>
      <c r="F107" s="15"/>
      <c r="G107" s="15">
        <f t="shared" si="10"/>
        <v>2334543</v>
      </c>
      <c r="H107" s="15"/>
      <c r="I107" s="15">
        <f t="shared" si="14"/>
        <v>0</v>
      </c>
      <c r="J107" s="15">
        <f t="shared" si="14"/>
        <v>0</v>
      </c>
      <c r="K107" s="15">
        <f t="shared" si="14"/>
        <v>2334542.875</v>
      </c>
      <c r="L107" s="15"/>
      <c r="M107" s="82">
        <v>0</v>
      </c>
      <c r="N107" s="82">
        <v>0</v>
      </c>
      <c r="O107" s="82">
        <v>2392758.55</v>
      </c>
      <c r="P107" s="15"/>
      <c r="Q107" s="82">
        <v>0</v>
      </c>
      <c r="R107" s="82">
        <v>0</v>
      </c>
      <c r="S107" s="82">
        <v>2276327.2</v>
      </c>
    </row>
    <row r="108" spans="1:19" ht="14.25">
      <c r="A108" s="17">
        <f t="shared" si="12"/>
        <v>92</v>
      </c>
      <c r="B108" s="47" t="s">
        <v>646</v>
      </c>
      <c r="C108" s="15">
        <f t="shared" si="13"/>
        <v>314449.8</v>
      </c>
      <c r="D108" s="15">
        <f t="shared" si="9"/>
        <v>8326319.4</v>
      </c>
      <c r="E108" s="15"/>
      <c r="F108" s="15"/>
      <c r="G108" s="15">
        <f>ROUND(SUM(C108:F108)/2,0)</f>
        <v>4320385</v>
      </c>
      <c r="H108" s="15"/>
      <c r="I108" s="15">
        <f t="shared" si="14"/>
        <v>0</v>
      </c>
      <c r="J108" s="15">
        <f t="shared" si="14"/>
        <v>0</v>
      </c>
      <c r="K108" s="15">
        <f t="shared" si="14"/>
        <v>4320384.600000001</v>
      </c>
      <c r="L108" s="15"/>
      <c r="M108" s="82">
        <v>0</v>
      </c>
      <c r="N108" s="82">
        <v>0</v>
      </c>
      <c r="O108" s="82">
        <v>314449.8</v>
      </c>
      <c r="P108" s="15"/>
      <c r="Q108" s="82">
        <v>0</v>
      </c>
      <c r="R108" s="82">
        <v>0</v>
      </c>
      <c r="S108" s="82">
        <v>8326319.4</v>
      </c>
    </row>
    <row r="109" spans="1:19" ht="14.25">
      <c r="A109" s="17">
        <f t="shared" si="12"/>
        <v>93</v>
      </c>
      <c r="B109" s="47" t="s">
        <v>647</v>
      </c>
      <c r="C109" s="15">
        <f t="shared" si="13"/>
        <v>1621222.4</v>
      </c>
      <c r="D109" s="15">
        <f t="shared" si="9"/>
        <v>-81541.25</v>
      </c>
      <c r="E109" s="15"/>
      <c r="F109" s="15"/>
      <c r="G109" s="15">
        <f>ROUND(SUM(C109:F109)/2,0)</f>
        <v>769841</v>
      </c>
      <c r="H109" s="15"/>
      <c r="I109" s="15">
        <f t="shared" si="14"/>
        <v>0</v>
      </c>
      <c r="J109" s="15">
        <f t="shared" si="14"/>
        <v>0</v>
      </c>
      <c r="K109" s="15">
        <f t="shared" si="14"/>
        <v>769840.575</v>
      </c>
      <c r="L109" s="15"/>
      <c r="M109" s="82">
        <v>0</v>
      </c>
      <c r="N109" s="82">
        <v>0</v>
      </c>
      <c r="O109" s="82">
        <v>1621222.4</v>
      </c>
      <c r="P109" s="15"/>
      <c r="Q109" s="82">
        <v>0</v>
      </c>
      <c r="R109" s="82">
        <v>0</v>
      </c>
      <c r="S109" s="82">
        <v>-81541.25</v>
      </c>
    </row>
    <row r="110" spans="1:19" ht="14.25">
      <c r="A110" s="17">
        <f t="shared" si="12"/>
        <v>94</v>
      </c>
      <c r="B110" s="47" t="s">
        <v>648</v>
      </c>
      <c r="C110" s="15">
        <f t="shared" si="13"/>
        <v>1643324.2</v>
      </c>
      <c r="D110" s="15">
        <f t="shared" si="9"/>
        <v>-2512449.1</v>
      </c>
      <c r="E110" s="15"/>
      <c r="F110" s="15"/>
      <c r="G110" s="15">
        <f>ROUND(SUM(C110:F110)/2,0)</f>
        <v>-434562</v>
      </c>
      <c r="H110" s="15"/>
      <c r="I110" s="15">
        <f t="shared" si="14"/>
        <v>0</v>
      </c>
      <c r="J110" s="15">
        <f t="shared" si="14"/>
        <v>0</v>
      </c>
      <c r="K110" s="15">
        <f t="shared" si="14"/>
        <v>-434562.45000000007</v>
      </c>
      <c r="L110" s="15"/>
      <c r="M110" s="82">
        <v>0</v>
      </c>
      <c r="N110" s="82">
        <v>0</v>
      </c>
      <c r="O110" s="82">
        <v>1643324.2</v>
      </c>
      <c r="P110" s="15"/>
      <c r="Q110" s="82">
        <v>0</v>
      </c>
      <c r="R110" s="82">
        <v>0</v>
      </c>
      <c r="S110" s="82">
        <v>-2512449.1</v>
      </c>
    </row>
    <row r="111" spans="1:19" ht="14.25">
      <c r="A111" s="17">
        <f t="shared" si="12"/>
        <v>95</v>
      </c>
      <c r="B111" s="47" t="s">
        <v>649</v>
      </c>
      <c r="C111" s="15">
        <f t="shared" si="13"/>
        <v>-640495.1</v>
      </c>
      <c r="D111" s="15">
        <f t="shared" si="9"/>
        <v>-170399.25</v>
      </c>
      <c r="E111" s="15"/>
      <c r="F111" s="15"/>
      <c r="G111" s="15">
        <f>ROUND(SUM(C111:F111)/2,0)</f>
        <v>-405447</v>
      </c>
      <c r="H111" s="15"/>
      <c r="I111" s="15">
        <f t="shared" si="14"/>
        <v>0</v>
      </c>
      <c r="J111" s="15">
        <f t="shared" si="14"/>
        <v>0</v>
      </c>
      <c r="K111" s="15">
        <f t="shared" si="14"/>
        <v>-405447.175</v>
      </c>
      <c r="L111" s="15"/>
      <c r="M111" s="82">
        <v>0</v>
      </c>
      <c r="N111" s="82">
        <v>0</v>
      </c>
      <c r="O111" s="82">
        <v>-640495.1</v>
      </c>
      <c r="P111" s="15"/>
      <c r="Q111" s="82">
        <v>0</v>
      </c>
      <c r="R111" s="82">
        <v>0</v>
      </c>
      <c r="S111" s="82">
        <v>-170399.25</v>
      </c>
    </row>
    <row r="112" spans="1:19" ht="14.25">
      <c r="A112" s="17">
        <f t="shared" si="12"/>
        <v>96</v>
      </c>
      <c r="B112" s="47" t="s">
        <v>650</v>
      </c>
      <c r="C112" s="15">
        <f t="shared" si="13"/>
        <v>-2121597.1</v>
      </c>
      <c r="D112" s="15">
        <f t="shared" si="9"/>
        <v>0</v>
      </c>
      <c r="E112" s="15"/>
      <c r="F112" s="15"/>
      <c r="G112" s="15">
        <f>ROUND(SUM(C112:F112)/2,0)</f>
        <v>-1060799</v>
      </c>
      <c r="H112" s="15"/>
      <c r="I112" s="15">
        <f t="shared" si="14"/>
        <v>0</v>
      </c>
      <c r="J112" s="15">
        <f t="shared" si="14"/>
        <v>0</v>
      </c>
      <c r="K112" s="15">
        <f t="shared" si="14"/>
        <v>-1060798.55</v>
      </c>
      <c r="L112" s="15"/>
      <c r="M112" s="82">
        <v>0</v>
      </c>
      <c r="N112" s="82">
        <v>0</v>
      </c>
      <c r="O112" s="82">
        <v>-2121597.1</v>
      </c>
      <c r="P112" s="15"/>
      <c r="Q112" s="82">
        <v>0</v>
      </c>
      <c r="R112" s="82">
        <v>0</v>
      </c>
      <c r="S112" s="82">
        <v>0</v>
      </c>
    </row>
    <row r="113" spans="1:19" ht="14.25">
      <c r="A113" s="17">
        <f t="shared" si="12"/>
        <v>97</v>
      </c>
      <c r="B113" s="47" t="s">
        <v>651</v>
      </c>
      <c r="C113" s="15">
        <f t="shared" si="13"/>
        <v>988666.2</v>
      </c>
      <c r="D113" s="15">
        <f t="shared" si="9"/>
        <v>0</v>
      </c>
      <c r="E113" s="15"/>
      <c r="F113" s="15"/>
      <c r="G113" s="15">
        <f t="shared" si="10"/>
        <v>494333</v>
      </c>
      <c r="H113" s="15"/>
      <c r="I113" s="15">
        <f t="shared" si="14"/>
        <v>0</v>
      </c>
      <c r="J113" s="15">
        <f t="shared" si="14"/>
        <v>0</v>
      </c>
      <c r="K113" s="15">
        <f t="shared" si="14"/>
        <v>494333.1</v>
      </c>
      <c r="L113" s="15"/>
      <c r="M113" s="82">
        <v>0</v>
      </c>
      <c r="N113" s="82">
        <v>0</v>
      </c>
      <c r="O113" s="82">
        <v>988666.2</v>
      </c>
      <c r="P113" s="15"/>
      <c r="Q113" s="82">
        <v>0</v>
      </c>
      <c r="R113" s="82">
        <v>0</v>
      </c>
      <c r="S113" s="82">
        <v>0</v>
      </c>
    </row>
    <row r="114" spans="1:19" ht="14.25">
      <c r="A114" s="17">
        <f t="shared" si="12"/>
        <v>98</v>
      </c>
      <c r="B114" s="47" t="s">
        <v>652</v>
      </c>
      <c r="C114" s="15">
        <f t="shared" si="13"/>
        <v>-711732.7</v>
      </c>
      <c r="D114" s="15">
        <f t="shared" si="9"/>
        <v>1445196.07</v>
      </c>
      <c r="E114" s="15"/>
      <c r="F114" s="15"/>
      <c r="G114" s="15">
        <f t="shared" si="10"/>
        <v>366732</v>
      </c>
      <c r="H114" s="15"/>
      <c r="I114" s="15">
        <f t="shared" si="14"/>
        <v>0</v>
      </c>
      <c r="J114" s="15">
        <f t="shared" si="14"/>
        <v>0</v>
      </c>
      <c r="K114" s="15">
        <f t="shared" si="14"/>
        <v>366731.68500000006</v>
      </c>
      <c r="L114" s="15"/>
      <c r="M114" s="82">
        <v>0</v>
      </c>
      <c r="N114" s="82">
        <v>0</v>
      </c>
      <c r="O114" s="82">
        <v>-711732.7</v>
      </c>
      <c r="P114" s="15"/>
      <c r="Q114" s="82">
        <v>0</v>
      </c>
      <c r="R114" s="82">
        <v>0</v>
      </c>
      <c r="S114" s="82">
        <v>1445196.07</v>
      </c>
    </row>
    <row r="115" spans="1:19" ht="14.25">
      <c r="A115" s="17">
        <f t="shared" si="12"/>
        <v>99</v>
      </c>
      <c r="B115" s="47" t="s">
        <v>653</v>
      </c>
      <c r="C115" s="15">
        <f t="shared" si="13"/>
        <v>4200000</v>
      </c>
      <c r="D115" s="15">
        <f t="shared" si="9"/>
        <v>0</v>
      </c>
      <c r="E115" s="15"/>
      <c r="F115" s="15"/>
      <c r="G115" s="15">
        <f t="shared" si="10"/>
        <v>2100000</v>
      </c>
      <c r="H115" s="15"/>
      <c r="I115" s="15">
        <f t="shared" si="14"/>
        <v>0</v>
      </c>
      <c r="J115" s="15">
        <f t="shared" si="14"/>
        <v>0</v>
      </c>
      <c r="K115" s="15">
        <f t="shared" si="14"/>
        <v>2100000</v>
      </c>
      <c r="L115" s="15"/>
      <c r="M115" s="82">
        <v>0</v>
      </c>
      <c r="N115" s="82">
        <v>0</v>
      </c>
      <c r="O115" s="82">
        <v>4200000</v>
      </c>
      <c r="P115" s="15"/>
      <c r="Q115" s="82">
        <v>0</v>
      </c>
      <c r="R115" s="82">
        <v>0</v>
      </c>
      <c r="S115" s="82">
        <v>0</v>
      </c>
    </row>
    <row r="116" spans="1:19" ht="14.25">
      <c r="A116" s="17">
        <f t="shared" si="12"/>
        <v>100</v>
      </c>
      <c r="B116" s="47" t="s">
        <v>654</v>
      </c>
      <c r="C116" s="15">
        <f t="shared" si="13"/>
        <v>648753</v>
      </c>
      <c r="D116" s="15">
        <f t="shared" si="9"/>
        <v>0</v>
      </c>
      <c r="E116" s="15"/>
      <c r="F116" s="15"/>
      <c r="G116" s="15">
        <f t="shared" si="10"/>
        <v>324377</v>
      </c>
      <c r="H116" s="15"/>
      <c r="I116" s="15">
        <f t="shared" si="14"/>
        <v>0</v>
      </c>
      <c r="J116" s="15">
        <f t="shared" si="14"/>
        <v>0</v>
      </c>
      <c r="K116" s="15">
        <f t="shared" si="14"/>
        <v>324376.5</v>
      </c>
      <c r="L116" s="15"/>
      <c r="M116" s="82">
        <v>0</v>
      </c>
      <c r="N116" s="82">
        <v>0</v>
      </c>
      <c r="O116" s="82">
        <v>648753</v>
      </c>
      <c r="P116" s="15"/>
      <c r="Q116" s="82">
        <v>0</v>
      </c>
      <c r="R116" s="82">
        <v>0</v>
      </c>
      <c r="S116" s="82">
        <v>0</v>
      </c>
    </row>
    <row r="117" spans="1:19" ht="14.25">
      <c r="A117" s="17">
        <f t="shared" si="12"/>
        <v>101</v>
      </c>
      <c r="B117" s="66" t="s">
        <v>438</v>
      </c>
      <c r="C117" s="15">
        <f t="shared" si="13"/>
        <v>0</v>
      </c>
      <c r="D117" s="15">
        <f t="shared" si="9"/>
        <v>0</v>
      </c>
      <c r="E117" s="15"/>
      <c r="F117" s="15"/>
      <c r="G117" s="15">
        <f t="shared" si="10"/>
        <v>0</v>
      </c>
      <c r="H117" s="15"/>
      <c r="I117" s="15">
        <f t="shared" si="14"/>
        <v>0</v>
      </c>
      <c r="J117" s="15">
        <f t="shared" si="14"/>
        <v>0</v>
      </c>
      <c r="K117" s="15">
        <f t="shared" si="14"/>
        <v>0</v>
      </c>
      <c r="L117" s="15"/>
      <c r="M117" s="82">
        <v>0</v>
      </c>
      <c r="N117" s="82">
        <v>0</v>
      </c>
      <c r="O117" s="82">
        <v>0</v>
      </c>
      <c r="P117" s="15"/>
      <c r="Q117" s="82">
        <v>0</v>
      </c>
      <c r="R117" s="82">
        <v>0</v>
      </c>
      <c r="S117" s="82">
        <v>0</v>
      </c>
    </row>
    <row r="118" spans="1:19" ht="14.25">
      <c r="A118" s="17">
        <f t="shared" si="12"/>
        <v>102</v>
      </c>
      <c r="B118" s="66" t="s">
        <v>439</v>
      </c>
      <c r="C118" s="15">
        <f t="shared" si="13"/>
        <v>0</v>
      </c>
      <c r="D118" s="15">
        <f t="shared" si="9"/>
        <v>0</v>
      </c>
      <c r="E118" s="15"/>
      <c r="F118" s="15"/>
      <c r="G118" s="15">
        <f t="shared" si="10"/>
        <v>0</v>
      </c>
      <c r="H118" s="15"/>
      <c r="I118" s="15">
        <f t="shared" si="14"/>
        <v>0</v>
      </c>
      <c r="J118" s="15">
        <f t="shared" si="14"/>
        <v>0</v>
      </c>
      <c r="K118" s="15">
        <f t="shared" si="14"/>
        <v>0</v>
      </c>
      <c r="L118" s="15"/>
      <c r="M118" s="82">
        <v>0</v>
      </c>
      <c r="N118" s="82">
        <v>0</v>
      </c>
      <c r="O118" s="82">
        <v>0</v>
      </c>
      <c r="P118" s="15"/>
      <c r="Q118" s="82">
        <v>0</v>
      </c>
      <c r="R118" s="82">
        <v>0</v>
      </c>
      <c r="S118" s="82">
        <v>0</v>
      </c>
    </row>
    <row r="119" spans="1:19" ht="14.25">
      <c r="A119" s="17">
        <f t="shared" si="12"/>
        <v>103</v>
      </c>
      <c r="B119" s="66" t="s">
        <v>440</v>
      </c>
      <c r="C119" s="15">
        <f t="shared" si="13"/>
        <v>0</v>
      </c>
      <c r="D119" s="15">
        <f t="shared" si="9"/>
        <v>0</v>
      </c>
      <c r="E119" s="15"/>
      <c r="F119" s="15"/>
      <c r="G119" s="15">
        <f t="shared" si="10"/>
        <v>0</v>
      </c>
      <c r="H119" s="15"/>
      <c r="I119" s="15">
        <f t="shared" si="14"/>
        <v>0</v>
      </c>
      <c r="J119" s="15">
        <f t="shared" si="14"/>
        <v>0</v>
      </c>
      <c r="K119" s="15">
        <f t="shared" si="14"/>
        <v>0</v>
      </c>
      <c r="L119" s="15"/>
      <c r="M119" s="82">
        <v>0</v>
      </c>
      <c r="N119" s="82">
        <v>0</v>
      </c>
      <c r="O119" s="82">
        <v>0</v>
      </c>
      <c r="P119" s="15"/>
      <c r="Q119" s="82">
        <v>0</v>
      </c>
      <c r="R119" s="82">
        <v>0</v>
      </c>
      <c r="S119" s="82">
        <v>0</v>
      </c>
    </row>
    <row r="120" spans="1:19" ht="14.25">
      <c r="A120" s="17">
        <f t="shared" si="12"/>
        <v>104</v>
      </c>
      <c r="B120" s="66" t="s">
        <v>655</v>
      </c>
      <c r="C120" s="15">
        <f t="shared" si="13"/>
        <v>493414.65</v>
      </c>
      <c r="D120" s="15">
        <f t="shared" si="9"/>
        <v>145121.96</v>
      </c>
      <c r="E120" s="15"/>
      <c r="F120" s="15"/>
      <c r="G120" s="15">
        <f t="shared" si="10"/>
        <v>319268</v>
      </c>
      <c r="H120" s="15"/>
      <c r="I120" s="15">
        <f t="shared" si="14"/>
        <v>0</v>
      </c>
      <c r="J120" s="15">
        <f t="shared" si="14"/>
        <v>0</v>
      </c>
      <c r="K120" s="15">
        <f t="shared" si="14"/>
        <v>319268.305</v>
      </c>
      <c r="L120" s="15"/>
      <c r="M120" s="82">
        <v>0</v>
      </c>
      <c r="N120" s="82">
        <v>0</v>
      </c>
      <c r="O120" s="82">
        <v>493414.65</v>
      </c>
      <c r="P120" s="15"/>
      <c r="Q120" s="82">
        <v>0</v>
      </c>
      <c r="R120" s="82">
        <v>0</v>
      </c>
      <c r="S120" s="82">
        <v>145121.96</v>
      </c>
    </row>
    <row r="121" spans="1:19" ht="14.25">
      <c r="A121" s="17">
        <f t="shared" si="12"/>
        <v>105</v>
      </c>
      <c r="B121" s="66" t="s">
        <v>441</v>
      </c>
      <c r="C121" s="15">
        <f t="shared" si="13"/>
        <v>97880042</v>
      </c>
      <c r="D121" s="15">
        <f t="shared" si="9"/>
        <v>137605895.73</v>
      </c>
      <c r="E121" s="15"/>
      <c r="F121" s="15"/>
      <c r="G121" s="15">
        <f t="shared" si="10"/>
        <v>117742969</v>
      </c>
      <c r="H121" s="15"/>
      <c r="I121" s="15">
        <f t="shared" si="14"/>
        <v>0</v>
      </c>
      <c r="J121" s="15">
        <f t="shared" si="14"/>
        <v>0</v>
      </c>
      <c r="K121" s="15">
        <f t="shared" si="14"/>
        <v>117742968.865</v>
      </c>
      <c r="L121" s="15"/>
      <c r="M121" s="82">
        <v>0</v>
      </c>
      <c r="N121" s="82">
        <v>0</v>
      </c>
      <c r="O121" s="82">
        <v>97880042</v>
      </c>
      <c r="P121" s="15"/>
      <c r="Q121" s="82">
        <v>0</v>
      </c>
      <c r="R121" s="82">
        <v>0</v>
      </c>
      <c r="S121" s="82">
        <v>137605895.73</v>
      </c>
    </row>
    <row r="122" spans="1:19" ht="14.25">
      <c r="A122" s="17">
        <f t="shared" si="12"/>
        <v>106</v>
      </c>
      <c r="B122" s="66" t="s">
        <v>442</v>
      </c>
      <c r="C122" s="15">
        <f t="shared" si="13"/>
        <v>2941096</v>
      </c>
      <c r="D122" s="15">
        <f t="shared" si="9"/>
        <v>10136250.15</v>
      </c>
      <c r="E122" s="15"/>
      <c r="F122" s="15"/>
      <c r="G122" s="15">
        <f t="shared" si="10"/>
        <v>6538673</v>
      </c>
      <c r="H122" s="15"/>
      <c r="I122" s="15">
        <f t="shared" si="14"/>
        <v>0</v>
      </c>
      <c r="J122" s="15">
        <f t="shared" si="14"/>
        <v>0</v>
      </c>
      <c r="K122" s="15">
        <f t="shared" si="14"/>
        <v>6538673.075</v>
      </c>
      <c r="L122" s="15"/>
      <c r="M122" s="82">
        <v>0</v>
      </c>
      <c r="N122" s="82">
        <v>0</v>
      </c>
      <c r="O122" s="82">
        <v>2941096</v>
      </c>
      <c r="P122" s="15"/>
      <c r="Q122" s="82">
        <v>0</v>
      </c>
      <c r="R122" s="82">
        <v>0</v>
      </c>
      <c r="S122" s="82">
        <v>10136250.15</v>
      </c>
    </row>
    <row r="123" spans="1:19" ht="14.25">
      <c r="A123" s="17">
        <f t="shared" si="12"/>
        <v>107</v>
      </c>
      <c r="B123" s="66" t="s">
        <v>443</v>
      </c>
      <c r="C123" s="15">
        <f t="shared" si="13"/>
        <v>4152107.88</v>
      </c>
      <c r="D123" s="15">
        <f t="shared" si="9"/>
        <v>4724593.56</v>
      </c>
      <c r="E123" s="15"/>
      <c r="F123" s="15"/>
      <c r="G123" s="15">
        <f t="shared" si="10"/>
        <v>4438351</v>
      </c>
      <c r="H123" s="15"/>
      <c r="I123" s="15">
        <f t="shared" si="14"/>
        <v>0</v>
      </c>
      <c r="J123" s="15">
        <f t="shared" si="14"/>
        <v>0</v>
      </c>
      <c r="K123" s="15">
        <f t="shared" si="14"/>
        <v>4438350.72</v>
      </c>
      <c r="L123" s="15"/>
      <c r="M123" s="82">
        <v>0</v>
      </c>
      <c r="N123" s="82">
        <v>0</v>
      </c>
      <c r="O123" s="82">
        <v>4152107.88</v>
      </c>
      <c r="P123" s="15"/>
      <c r="Q123" s="82">
        <v>0</v>
      </c>
      <c r="R123" s="82">
        <v>0</v>
      </c>
      <c r="S123" s="82">
        <v>4724593.56</v>
      </c>
    </row>
    <row r="124" spans="1:19" ht="14.25">
      <c r="A124" s="17">
        <f t="shared" si="12"/>
        <v>108</v>
      </c>
      <c r="B124" s="66" t="s">
        <v>444</v>
      </c>
      <c r="C124" s="15">
        <f t="shared" si="13"/>
        <v>7367355.82</v>
      </c>
      <c r="D124" s="15">
        <f t="shared" si="9"/>
        <v>7515303.85</v>
      </c>
      <c r="E124" s="15"/>
      <c r="F124" s="15"/>
      <c r="G124" s="15">
        <f t="shared" si="10"/>
        <v>7441330</v>
      </c>
      <c r="H124" s="15"/>
      <c r="I124" s="15">
        <f t="shared" si="14"/>
        <v>0</v>
      </c>
      <c r="J124" s="15">
        <f t="shared" si="14"/>
        <v>0</v>
      </c>
      <c r="K124" s="15">
        <f t="shared" si="14"/>
        <v>7441329.835</v>
      </c>
      <c r="L124" s="15"/>
      <c r="M124" s="82">
        <v>0</v>
      </c>
      <c r="N124" s="82">
        <v>0</v>
      </c>
      <c r="O124" s="82">
        <v>7367355.82</v>
      </c>
      <c r="P124" s="15"/>
      <c r="Q124" s="82">
        <v>0</v>
      </c>
      <c r="R124" s="82">
        <v>0</v>
      </c>
      <c r="S124" s="82">
        <v>7515303.85</v>
      </c>
    </row>
    <row r="125" spans="1:19" ht="14.25">
      <c r="A125" s="17">
        <f t="shared" si="12"/>
        <v>109</v>
      </c>
      <c r="B125" s="66" t="s">
        <v>445</v>
      </c>
      <c r="C125" s="15">
        <f t="shared" si="13"/>
        <v>-1115256.17</v>
      </c>
      <c r="D125" s="15">
        <f t="shared" si="9"/>
        <v>-1269025.82</v>
      </c>
      <c r="E125" s="15"/>
      <c r="F125" s="15"/>
      <c r="G125" s="15">
        <f t="shared" si="10"/>
        <v>-1192141</v>
      </c>
      <c r="H125" s="15"/>
      <c r="I125" s="15">
        <f t="shared" si="14"/>
        <v>0</v>
      </c>
      <c r="J125" s="15">
        <f t="shared" si="14"/>
        <v>0</v>
      </c>
      <c r="K125" s="15">
        <f t="shared" si="14"/>
        <v>-1192140.995</v>
      </c>
      <c r="L125" s="15"/>
      <c r="M125" s="82">
        <v>0</v>
      </c>
      <c r="N125" s="82">
        <v>0</v>
      </c>
      <c r="O125" s="82">
        <v>-1115256.17</v>
      </c>
      <c r="P125" s="15"/>
      <c r="Q125" s="82">
        <v>0</v>
      </c>
      <c r="R125" s="82">
        <v>0</v>
      </c>
      <c r="S125" s="82">
        <v>-1269025.82</v>
      </c>
    </row>
    <row r="126" spans="1:19" ht="14.25">
      <c r="A126" s="17">
        <f t="shared" si="12"/>
        <v>110</v>
      </c>
      <c r="B126" s="66" t="s">
        <v>446</v>
      </c>
      <c r="C126" s="15">
        <f t="shared" si="13"/>
        <v>12470686.41</v>
      </c>
      <c r="D126" s="15">
        <f t="shared" si="9"/>
        <v>3669104.78</v>
      </c>
      <c r="E126" s="15"/>
      <c r="F126" s="15"/>
      <c r="G126" s="15">
        <f t="shared" si="10"/>
        <v>8069896</v>
      </c>
      <c r="H126" s="15"/>
      <c r="I126" s="15">
        <f t="shared" si="14"/>
        <v>0</v>
      </c>
      <c r="J126" s="15">
        <f t="shared" si="14"/>
        <v>0</v>
      </c>
      <c r="K126" s="15">
        <f t="shared" si="14"/>
        <v>8069895.595</v>
      </c>
      <c r="L126" s="15"/>
      <c r="M126" s="82">
        <v>0</v>
      </c>
      <c r="N126" s="82">
        <v>0</v>
      </c>
      <c r="O126" s="82">
        <v>12470686.41</v>
      </c>
      <c r="P126" s="15"/>
      <c r="Q126" s="82">
        <v>0</v>
      </c>
      <c r="R126" s="82">
        <v>0</v>
      </c>
      <c r="S126" s="82">
        <v>3669104.78</v>
      </c>
    </row>
    <row r="127" spans="1:19" ht="14.25">
      <c r="A127" s="17">
        <f t="shared" si="12"/>
        <v>111</v>
      </c>
      <c r="B127" s="47" t="s">
        <v>656</v>
      </c>
      <c r="C127" s="15">
        <f t="shared" si="13"/>
        <v>949377</v>
      </c>
      <c r="D127" s="15">
        <f t="shared" si="9"/>
        <v>527666.65</v>
      </c>
      <c r="E127" s="15"/>
      <c r="F127" s="15"/>
      <c r="G127" s="15">
        <f>ROUND(SUM(C127:F127)/2,0)</f>
        <v>738522</v>
      </c>
      <c r="H127" s="15"/>
      <c r="I127" s="15">
        <f t="shared" si="14"/>
        <v>0</v>
      </c>
      <c r="J127" s="15">
        <f t="shared" si="14"/>
        <v>0</v>
      </c>
      <c r="K127" s="15">
        <f t="shared" si="14"/>
        <v>738521.825</v>
      </c>
      <c r="L127" s="15"/>
      <c r="M127" s="82">
        <v>0</v>
      </c>
      <c r="N127" s="82">
        <v>0</v>
      </c>
      <c r="O127" s="82">
        <v>949377</v>
      </c>
      <c r="P127" s="15"/>
      <c r="Q127" s="82">
        <v>0</v>
      </c>
      <c r="R127" s="82">
        <v>0</v>
      </c>
      <c r="S127" s="82">
        <v>527666.65</v>
      </c>
    </row>
    <row r="128" spans="1:19" ht="14.25">
      <c r="A128" s="17">
        <f t="shared" si="12"/>
        <v>112</v>
      </c>
      <c r="B128" s="66" t="s">
        <v>573</v>
      </c>
      <c r="C128" s="15">
        <f t="shared" si="13"/>
        <v>136356</v>
      </c>
      <c r="D128" s="15">
        <f t="shared" si="9"/>
        <v>87637.75</v>
      </c>
      <c r="E128" s="15"/>
      <c r="F128" s="15"/>
      <c r="G128" s="15">
        <f t="shared" si="10"/>
        <v>111997</v>
      </c>
      <c r="H128" s="15"/>
      <c r="I128" s="15">
        <f t="shared" si="14"/>
        <v>0</v>
      </c>
      <c r="J128" s="15">
        <f t="shared" si="14"/>
        <v>0</v>
      </c>
      <c r="K128" s="15">
        <f t="shared" si="14"/>
        <v>111996.875</v>
      </c>
      <c r="L128" s="15"/>
      <c r="M128" s="82">
        <v>0</v>
      </c>
      <c r="N128" s="82">
        <v>0</v>
      </c>
      <c r="O128" s="82">
        <v>136356</v>
      </c>
      <c r="P128" s="15"/>
      <c r="Q128" s="82">
        <v>0</v>
      </c>
      <c r="R128" s="82">
        <v>0</v>
      </c>
      <c r="S128" s="82">
        <v>87637.75</v>
      </c>
    </row>
    <row r="129" spans="1:19" ht="14.25">
      <c r="A129" s="17">
        <f t="shared" si="12"/>
        <v>113</v>
      </c>
      <c r="B129" s="66" t="s">
        <v>574</v>
      </c>
      <c r="C129" s="15">
        <f t="shared" si="13"/>
        <v>140387.72</v>
      </c>
      <c r="D129" s="15">
        <f t="shared" si="9"/>
        <v>166532.2</v>
      </c>
      <c r="E129" s="15"/>
      <c r="F129" s="15"/>
      <c r="G129" s="15">
        <f t="shared" si="10"/>
        <v>153460</v>
      </c>
      <c r="H129" s="15"/>
      <c r="I129" s="15">
        <f t="shared" si="14"/>
        <v>0</v>
      </c>
      <c r="J129" s="15">
        <f t="shared" si="14"/>
        <v>0</v>
      </c>
      <c r="K129" s="15">
        <f t="shared" si="14"/>
        <v>153459.96000000002</v>
      </c>
      <c r="L129" s="15"/>
      <c r="M129" s="82">
        <v>0</v>
      </c>
      <c r="N129" s="82">
        <v>0</v>
      </c>
      <c r="O129" s="82">
        <v>140387.72</v>
      </c>
      <c r="P129" s="15"/>
      <c r="Q129" s="82">
        <v>0</v>
      </c>
      <c r="R129" s="82">
        <v>0</v>
      </c>
      <c r="S129" s="82">
        <v>166532.2</v>
      </c>
    </row>
    <row r="130" spans="1:19" ht="14.25">
      <c r="A130" s="17">
        <f t="shared" si="12"/>
        <v>114</v>
      </c>
      <c r="B130" s="66" t="s">
        <v>657</v>
      </c>
      <c r="C130" s="15">
        <f t="shared" si="13"/>
        <v>3321259.59</v>
      </c>
      <c r="D130" s="15">
        <f t="shared" si="9"/>
        <v>4504526.04</v>
      </c>
      <c r="E130" s="15"/>
      <c r="F130" s="15"/>
      <c r="G130" s="15">
        <f t="shared" si="10"/>
        <v>3912893</v>
      </c>
      <c r="H130" s="15"/>
      <c r="I130" s="15">
        <f t="shared" si="14"/>
        <v>0</v>
      </c>
      <c r="J130" s="15">
        <f t="shared" si="14"/>
        <v>0</v>
      </c>
      <c r="K130" s="15">
        <f t="shared" si="14"/>
        <v>3912892.815</v>
      </c>
      <c r="L130" s="15"/>
      <c r="M130" s="82">
        <v>0</v>
      </c>
      <c r="N130" s="82">
        <v>0</v>
      </c>
      <c r="O130" s="82">
        <v>3321259.59</v>
      </c>
      <c r="P130" s="15"/>
      <c r="Q130" s="82">
        <v>0</v>
      </c>
      <c r="R130" s="82">
        <v>0</v>
      </c>
      <c r="S130" s="82">
        <v>4504526.04</v>
      </c>
    </row>
    <row r="131" spans="1:19" ht="14.25">
      <c r="A131" s="17">
        <f t="shared" si="12"/>
        <v>115</v>
      </c>
      <c r="B131" s="66" t="s">
        <v>102</v>
      </c>
      <c r="C131" s="15">
        <f aca="true" t="shared" si="15" ref="C131:C140">SUM(M131:O131)</f>
        <v>3292295.75</v>
      </c>
      <c r="D131" s="15">
        <f aca="true" t="shared" si="16" ref="D131:D140">SUM(Q131:S131)</f>
        <v>4290400.22</v>
      </c>
      <c r="E131" s="15"/>
      <c r="F131" s="15"/>
      <c r="G131" s="15">
        <f>ROUND(SUM(C131:F131)/2,0)</f>
        <v>3791348</v>
      </c>
      <c r="H131" s="15"/>
      <c r="I131" s="15">
        <f aca="true" t="shared" si="17" ref="I131:K140">(M131+Q131)/2</f>
        <v>0</v>
      </c>
      <c r="J131" s="15">
        <f t="shared" si="17"/>
        <v>585190.51</v>
      </c>
      <c r="K131" s="15">
        <f t="shared" si="17"/>
        <v>3206157.475</v>
      </c>
      <c r="L131" s="15"/>
      <c r="M131" s="82">
        <v>0</v>
      </c>
      <c r="N131" s="82">
        <v>558207.26</v>
      </c>
      <c r="O131" s="82">
        <v>2734088.49</v>
      </c>
      <c r="P131" s="15"/>
      <c r="Q131" s="82">
        <v>0</v>
      </c>
      <c r="R131" s="82">
        <v>612173.76</v>
      </c>
      <c r="S131" s="82">
        <v>3678226.46</v>
      </c>
    </row>
    <row r="132" spans="1:19" ht="14.25">
      <c r="A132" s="17">
        <f t="shared" si="12"/>
        <v>116</v>
      </c>
      <c r="B132" s="35" t="s">
        <v>282</v>
      </c>
      <c r="C132" s="15">
        <f t="shared" si="15"/>
        <v>15583520.850000001</v>
      </c>
      <c r="D132" s="15">
        <f t="shared" si="16"/>
        <v>17384465.62</v>
      </c>
      <c r="E132" s="15"/>
      <c r="F132" s="15"/>
      <c r="G132" s="15">
        <f aca="true" t="shared" si="18" ref="G132:G146">ROUND(SUM(C132:F132)/2,0)</f>
        <v>16483993</v>
      </c>
      <c r="H132" s="15"/>
      <c r="I132" s="15">
        <f t="shared" si="17"/>
        <v>0</v>
      </c>
      <c r="J132" s="15">
        <f t="shared" si="17"/>
        <v>5307578.71</v>
      </c>
      <c r="K132" s="15">
        <f t="shared" si="17"/>
        <v>11176414.525</v>
      </c>
      <c r="L132" s="15"/>
      <c r="M132" s="82">
        <v>0</v>
      </c>
      <c r="N132" s="82">
        <v>5516487.38</v>
      </c>
      <c r="O132" s="82">
        <v>10067033.47</v>
      </c>
      <c r="P132" s="15"/>
      <c r="Q132" s="82">
        <v>0</v>
      </c>
      <c r="R132" s="82">
        <v>5098670.04</v>
      </c>
      <c r="S132" s="82">
        <v>12285795.58</v>
      </c>
    </row>
    <row r="133" spans="1:19" ht="14.25">
      <c r="A133" s="17">
        <f t="shared" si="12"/>
        <v>117</v>
      </c>
      <c r="B133" s="35" t="s">
        <v>103</v>
      </c>
      <c r="C133" s="15">
        <f t="shared" si="15"/>
        <v>4561592.7299999995</v>
      </c>
      <c r="D133" s="15">
        <f t="shared" si="16"/>
        <v>4093053.81</v>
      </c>
      <c r="E133" s="15"/>
      <c r="F133" s="15"/>
      <c r="G133" s="15">
        <f t="shared" si="18"/>
        <v>4327323</v>
      </c>
      <c r="H133" s="15"/>
      <c r="I133" s="15">
        <f t="shared" si="17"/>
        <v>0</v>
      </c>
      <c r="J133" s="15">
        <f t="shared" si="17"/>
        <v>618673.915</v>
      </c>
      <c r="K133" s="15">
        <f t="shared" si="17"/>
        <v>3708649.355</v>
      </c>
      <c r="L133" s="15"/>
      <c r="M133" s="82">
        <v>0</v>
      </c>
      <c r="N133" s="82">
        <v>648163.47</v>
      </c>
      <c r="O133" s="82">
        <v>3913429.26</v>
      </c>
      <c r="P133" s="15"/>
      <c r="Q133" s="82">
        <v>0</v>
      </c>
      <c r="R133" s="82">
        <v>589184.36</v>
      </c>
      <c r="S133" s="82">
        <v>3503869.45</v>
      </c>
    </row>
    <row r="134" spans="1:19" ht="14.25">
      <c r="A134" s="17">
        <f t="shared" si="12"/>
        <v>118</v>
      </c>
      <c r="B134" s="35" t="s">
        <v>104</v>
      </c>
      <c r="C134" s="15">
        <f t="shared" si="15"/>
        <v>0</v>
      </c>
      <c r="D134" s="15">
        <f t="shared" si="16"/>
        <v>0</v>
      </c>
      <c r="E134" s="15"/>
      <c r="F134" s="15"/>
      <c r="G134" s="15">
        <f t="shared" si="18"/>
        <v>0</v>
      </c>
      <c r="H134" s="15"/>
      <c r="I134" s="15">
        <f t="shared" si="17"/>
        <v>0</v>
      </c>
      <c r="J134" s="15">
        <f t="shared" si="17"/>
        <v>0</v>
      </c>
      <c r="K134" s="15">
        <f t="shared" si="17"/>
        <v>0</v>
      </c>
      <c r="L134" s="15"/>
      <c r="M134" s="82">
        <v>0</v>
      </c>
      <c r="N134" s="82">
        <v>0</v>
      </c>
      <c r="O134" s="82">
        <v>0</v>
      </c>
      <c r="P134" s="15"/>
      <c r="Q134" s="82">
        <v>0</v>
      </c>
      <c r="R134" s="82">
        <v>0</v>
      </c>
      <c r="S134" s="82">
        <v>0</v>
      </c>
    </row>
    <row r="135" spans="1:19" ht="14.25">
      <c r="A135" s="17">
        <f t="shared" si="12"/>
        <v>119</v>
      </c>
      <c r="B135" s="66" t="s">
        <v>294</v>
      </c>
      <c r="C135" s="15">
        <f t="shared" si="15"/>
        <v>-7737609.31</v>
      </c>
      <c r="D135" s="15">
        <f t="shared" si="16"/>
        <v>-7737609.31</v>
      </c>
      <c r="E135" s="15"/>
      <c r="F135" s="15"/>
      <c r="G135" s="15">
        <f t="shared" si="18"/>
        <v>-7737609</v>
      </c>
      <c r="H135" s="15"/>
      <c r="I135" s="15">
        <f t="shared" si="17"/>
        <v>0</v>
      </c>
      <c r="J135" s="15">
        <f t="shared" si="17"/>
        <v>-948370.01</v>
      </c>
      <c r="K135" s="15">
        <f t="shared" si="17"/>
        <v>-6789239.3</v>
      </c>
      <c r="L135" s="15"/>
      <c r="M135" s="82">
        <v>0</v>
      </c>
      <c r="N135" s="82">
        <v>-948370.01</v>
      </c>
      <c r="O135" s="82">
        <v>-6789239.3</v>
      </c>
      <c r="P135" s="15"/>
      <c r="Q135" s="82">
        <v>0</v>
      </c>
      <c r="R135" s="82">
        <v>-948370.01</v>
      </c>
      <c r="S135" s="82">
        <v>-6789239.3</v>
      </c>
    </row>
    <row r="136" spans="1:19" ht="14.25">
      <c r="A136" s="17">
        <f t="shared" si="12"/>
        <v>120</v>
      </c>
      <c r="B136" s="35" t="s">
        <v>447</v>
      </c>
      <c r="C136" s="15">
        <f t="shared" si="15"/>
        <v>0</v>
      </c>
      <c r="D136" s="15">
        <f t="shared" si="16"/>
        <v>0</v>
      </c>
      <c r="E136" s="15"/>
      <c r="F136" s="15"/>
      <c r="G136" s="15">
        <f t="shared" si="18"/>
        <v>0</v>
      </c>
      <c r="H136" s="15"/>
      <c r="I136" s="15">
        <f t="shared" si="17"/>
        <v>0</v>
      </c>
      <c r="J136" s="15">
        <f t="shared" si="17"/>
        <v>0</v>
      </c>
      <c r="K136" s="15">
        <f t="shared" si="17"/>
        <v>0</v>
      </c>
      <c r="L136" s="15"/>
      <c r="M136" s="82">
        <v>0</v>
      </c>
      <c r="N136" s="82">
        <v>0</v>
      </c>
      <c r="O136" s="82">
        <v>0</v>
      </c>
      <c r="P136" s="15"/>
      <c r="Q136" s="82">
        <v>0</v>
      </c>
      <c r="R136" s="82">
        <v>0</v>
      </c>
      <c r="S136" s="82">
        <v>0</v>
      </c>
    </row>
    <row r="137" spans="1:19" ht="14.25">
      <c r="A137" s="17">
        <f t="shared" si="12"/>
        <v>121</v>
      </c>
      <c r="B137" s="35" t="s">
        <v>448</v>
      </c>
      <c r="C137" s="15">
        <f t="shared" si="15"/>
        <v>0</v>
      </c>
      <c r="D137" s="15">
        <f t="shared" si="16"/>
        <v>0</v>
      </c>
      <c r="E137" s="15"/>
      <c r="F137" s="15"/>
      <c r="G137" s="15">
        <f>ROUND(SUM(C137:F137)/2,0)</f>
        <v>0</v>
      </c>
      <c r="H137" s="15"/>
      <c r="I137" s="15">
        <f t="shared" si="17"/>
        <v>0</v>
      </c>
      <c r="J137" s="15">
        <f t="shared" si="17"/>
        <v>0</v>
      </c>
      <c r="K137" s="15">
        <f t="shared" si="17"/>
        <v>0</v>
      </c>
      <c r="L137" s="15"/>
      <c r="M137" s="82">
        <v>0</v>
      </c>
      <c r="N137" s="82">
        <v>0</v>
      </c>
      <c r="O137" s="82">
        <v>0</v>
      </c>
      <c r="P137" s="15"/>
      <c r="Q137" s="82">
        <v>0</v>
      </c>
      <c r="R137" s="82">
        <v>0</v>
      </c>
      <c r="S137" s="82">
        <v>0</v>
      </c>
    </row>
    <row r="138" spans="1:19" ht="14.25">
      <c r="A138" s="17">
        <f t="shared" si="12"/>
        <v>122</v>
      </c>
      <c r="B138" s="35" t="s">
        <v>106</v>
      </c>
      <c r="C138" s="15">
        <f t="shared" si="15"/>
        <v>0</v>
      </c>
      <c r="D138" s="15">
        <f t="shared" si="16"/>
        <v>0</v>
      </c>
      <c r="E138" s="15"/>
      <c r="F138" s="15"/>
      <c r="G138" s="15">
        <f>ROUND(SUM(C138:F138)/2,0)</f>
        <v>0</v>
      </c>
      <c r="H138" s="15"/>
      <c r="I138" s="15">
        <f t="shared" si="17"/>
        <v>0</v>
      </c>
      <c r="J138" s="15">
        <f t="shared" si="17"/>
        <v>0</v>
      </c>
      <c r="K138" s="15">
        <f t="shared" si="17"/>
        <v>0</v>
      </c>
      <c r="L138" s="15"/>
      <c r="M138" s="82">
        <v>0</v>
      </c>
      <c r="N138" s="82">
        <v>0</v>
      </c>
      <c r="O138" s="82">
        <v>0</v>
      </c>
      <c r="P138" s="15"/>
      <c r="Q138" s="82">
        <v>0</v>
      </c>
      <c r="R138" s="82">
        <v>0</v>
      </c>
      <c r="S138" s="82">
        <v>0</v>
      </c>
    </row>
    <row r="139" spans="1:19" ht="14.25">
      <c r="A139" s="17">
        <f t="shared" si="12"/>
        <v>123</v>
      </c>
      <c r="B139" s="35" t="s">
        <v>559</v>
      </c>
      <c r="C139" s="15">
        <f t="shared" si="15"/>
        <v>3973983.3899999997</v>
      </c>
      <c r="D139" s="15">
        <f t="shared" si="16"/>
        <v>3612712.16</v>
      </c>
      <c r="E139" s="15"/>
      <c r="F139" s="15"/>
      <c r="G139" s="15">
        <f>ROUND(SUM(C139:F139)/2,0)</f>
        <v>3793348</v>
      </c>
      <c r="H139" s="15"/>
      <c r="I139" s="15">
        <f t="shared" si="17"/>
        <v>0</v>
      </c>
      <c r="J139" s="15">
        <f t="shared" si="17"/>
        <v>499565.21</v>
      </c>
      <c r="K139" s="15">
        <f t="shared" si="17"/>
        <v>3293782.565</v>
      </c>
      <c r="L139" s="15"/>
      <c r="M139" s="82">
        <v>0</v>
      </c>
      <c r="N139" s="82">
        <v>523354.03</v>
      </c>
      <c r="O139" s="82">
        <v>3450629.36</v>
      </c>
      <c r="P139" s="15"/>
      <c r="Q139" s="82">
        <v>0</v>
      </c>
      <c r="R139" s="82">
        <v>475776.39</v>
      </c>
      <c r="S139" s="82">
        <v>3136935.77</v>
      </c>
    </row>
    <row r="140" spans="1:19" ht="14.25">
      <c r="A140" s="17">
        <f t="shared" si="12"/>
        <v>124</v>
      </c>
      <c r="B140" s="35" t="s">
        <v>105</v>
      </c>
      <c r="C140" s="15">
        <f t="shared" si="15"/>
        <v>2169133.42</v>
      </c>
      <c r="D140" s="15">
        <f t="shared" si="16"/>
        <v>2148715.4299999997</v>
      </c>
      <c r="E140" s="15"/>
      <c r="F140" s="15"/>
      <c r="G140" s="15">
        <f t="shared" si="18"/>
        <v>2158924</v>
      </c>
      <c r="H140" s="15"/>
      <c r="I140" s="15">
        <f t="shared" si="17"/>
        <v>0</v>
      </c>
      <c r="J140" s="15">
        <f t="shared" si="17"/>
        <v>271848.005</v>
      </c>
      <c r="K140" s="15">
        <f t="shared" si="17"/>
        <v>1887076.42</v>
      </c>
      <c r="L140" s="15"/>
      <c r="M140" s="82">
        <v>0</v>
      </c>
      <c r="N140" s="82">
        <v>328031</v>
      </c>
      <c r="O140" s="82">
        <v>1841102.42</v>
      </c>
      <c r="P140" s="15"/>
      <c r="Q140" s="82">
        <v>0</v>
      </c>
      <c r="R140" s="82">
        <v>215665.01</v>
      </c>
      <c r="S140" s="82">
        <v>1933050.42</v>
      </c>
    </row>
    <row r="141" spans="1:21" ht="14.25">
      <c r="A141" s="17">
        <f t="shared" si="12"/>
        <v>125</v>
      </c>
      <c r="B141" s="35" t="s">
        <v>32</v>
      </c>
      <c r="C141" s="81">
        <v>-40403.29999999999</v>
      </c>
      <c r="D141" s="81">
        <v>19346.94</v>
      </c>
      <c r="E141" s="15">
        <f aca="true" t="shared" si="19" ref="E141:F145">-C141</f>
        <v>40403.29999999999</v>
      </c>
      <c r="F141" s="15">
        <f t="shared" si="19"/>
        <v>-19346.94</v>
      </c>
      <c r="G141" s="15">
        <f t="shared" si="18"/>
        <v>0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4"/>
      <c r="U141" s="4"/>
    </row>
    <row r="142" spans="1:21" ht="14.25">
      <c r="A142" s="17">
        <f t="shared" si="12"/>
        <v>126</v>
      </c>
      <c r="B142" s="35" t="s">
        <v>107</v>
      </c>
      <c r="C142" s="81">
        <v>67104823.19</v>
      </c>
      <c r="D142" s="81">
        <v>49060989.31</v>
      </c>
      <c r="E142" s="15">
        <f t="shared" si="19"/>
        <v>-67104823.19</v>
      </c>
      <c r="F142" s="15">
        <f t="shared" si="19"/>
        <v>-49060989.31</v>
      </c>
      <c r="G142" s="15">
        <f t="shared" si="18"/>
        <v>0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4"/>
      <c r="U142" s="4"/>
    </row>
    <row r="143" spans="1:21" ht="14.25">
      <c r="A143" s="17">
        <f t="shared" si="12"/>
        <v>127</v>
      </c>
      <c r="B143" s="35" t="s">
        <v>108</v>
      </c>
      <c r="C143" s="81">
        <v>0</v>
      </c>
      <c r="D143" s="81">
        <v>0</v>
      </c>
      <c r="E143" s="15">
        <f t="shared" si="19"/>
        <v>0</v>
      </c>
      <c r="F143" s="15">
        <f t="shared" si="19"/>
        <v>0</v>
      </c>
      <c r="G143" s="15">
        <f t="shared" si="18"/>
        <v>0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4"/>
      <c r="U143" s="4"/>
    </row>
    <row r="144" spans="1:21" ht="14.25">
      <c r="A144" s="17">
        <f t="shared" si="12"/>
        <v>128</v>
      </c>
      <c r="B144" s="66" t="s">
        <v>449</v>
      </c>
      <c r="C144" s="94">
        <v>56739.78</v>
      </c>
      <c r="D144" s="94">
        <v>0</v>
      </c>
      <c r="E144" s="15">
        <f t="shared" si="19"/>
        <v>-56739.78</v>
      </c>
      <c r="F144" s="15">
        <f t="shared" si="19"/>
        <v>0</v>
      </c>
      <c r="G144" s="15">
        <f t="shared" si="18"/>
        <v>0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4"/>
      <c r="U144" s="4"/>
    </row>
    <row r="145" spans="1:21" ht="14.25">
      <c r="A145" s="17">
        <f t="shared" si="12"/>
        <v>129</v>
      </c>
      <c r="B145" s="66" t="s">
        <v>450</v>
      </c>
      <c r="C145" s="81">
        <v>3708861.12</v>
      </c>
      <c r="D145" s="81">
        <v>2974679.44</v>
      </c>
      <c r="E145" s="15">
        <f t="shared" si="19"/>
        <v>-3708861.12</v>
      </c>
      <c r="F145" s="15">
        <f t="shared" si="19"/>
        <v>-2974679.44</v>
      </c>
      <c r="G145" s="15">
        <f t="shared" si="18"/>
        <v>0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4"/>
      <c r="U145" s="4"/>
    </row>
    <row r="146" spans="1:21" ht="14.25">
      <c r="A146" s="17">
        <f aca="true" t="shared" si="20" ref="A146:A172">A145+1</f>
        <v>130</v>
      </c>
      <c r="B146" s="66" t="s">
        <v>451</v>
      </c>
      <c r="C146" s="81">
        <v>46410</v>
      </c>
      <c r="D146" s="81">
        <v>41690.8</v>
      </c>
      <c r="E146" s="15">
        <f>-C146</f>
        <v>-46410</v>
      </c>
      <c r="F146" s="15">
        <f>-D146</f>
        <v>-41690.8</v>
      </c>
      <c r="G146" s="15">
        <f t="shared" si="18"/>
        <v>0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4"/>
      <c r="U146" s="4"/>
    </row>
    <row r="147" spans="1:21" ht="14.25">
      <c r="A147" s="17">
        <f t="shared" si="20"/>
        <v>131</v>
      </c>
      <c r="B147" s="3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4"/>
      <c r="U147" s="4"/>
    </row>
    <row r="148" spans="1:19" ht="15" thickBot="1">
      <c r="A148" s="17">
        <f t="shared" si="20"/>
        <v>132</v>
      </c>
      <c r="B148" s="35"/>
      <c r="C148" s="18">
        <f>SUM(C67:C147)</f>
        <v>579479667.1899999</v>
      </c>
      <c r="D148" s="18">
        <f>SUM(D67:D147)</f>
        <v>540588747.84</v>
      </c>
      <c r="E148" s="18">
        <f>SUM(E67:E147)</f>
        <v>-70876430.79</v>
      </c>
      <c r="F148" s="18">
        <f>SUM(F67:F147)</f>
        <v>-52096706.489999995</v>
      </c>
      <c r="G148" s="18">
        <f>SUM(G67:G147)</f>
        <v>498547641</v>
      </c>
      <c r="H148" s="18"/>
      <c r="I148" s="18">
        <f>SUM(I67:I147)</f>
        <v>0</v>
      </c>
      <c r="J148" s="18">
        <f>SUM(J67:J147)</f>
        <v>26678470.7</v>
      </c>
      <c r="K148" s="18">
        <f>SUM(K67:K147)</f>
        <v>471869168.1750001</v>
      </c>
      <c r="L148" s="18"/>
      <c r="M148" s="18">
        <f>SUM(M67:M147)</f>
        <v>0</v>
      </c>
      <c r="N148" s="18">
        <f>SUM(N67:N147)</f>
        <v>35593854.77</v>
      </c>
      <c r="O148" s="18">
        <f>SUM(O67:O147)</f>
        <v>473009381.62999994</v>
      </c>
      <c r="P148" s="15"/>
      <c r="Q148" s="18">
        <f>SUM(Q67:Q147)</f>
        <v>0</v>
      </c>
      <c r="R148" s="18">
        <f>SUM(R67:R147)</f>
        <v>17763086.63</v>
      </c>
      <c r="S148" s="18">
        <f>SUM(S67:S147)</f>
        <v>470728954.71999985</v>
      </c>
    </row>
    <row r="149" spans="1:19" ht="15" thickTop="1">
      <c r="A149" s="17">
        <f t="shared" si="20"/>
        <v>133</v>
      </c>
      <c r="B149" s="4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5"/>
      <c r="Q149" s="19"/>
      <c r="R149" s="19"/>
      <c r="S149" s="71"/>
    </row>
    <row r="150" spans="1:19" ht="14.25">
      <c r="A150" s="17">
        <f t="shared" si="20"/>
        <v>134</v>
      </c>
      <c r="B150" s="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20"/>
      <c r="N150" s="20"/>
      <c r="O150" s="20"/>
      <c r="P150" s="15"/>
      <c r="Q150" s="15"/>
      <c r="R150" s="15"/>
      <c r="S150" s="69"/>
    </row>
    <row r="151" spans="1:20" ht="14.25">
      <c r="A151" s="17">
        <f t="shared" si="20"/>
        <v>135</v>
      </c>
      <c r="B151" s="14" t="s">
        <v>452</v>
      </c>
      <c r="C151" s="15">
        <f>SUM(M151:O151)</f>
        <v>26884384</v>
      </c>
      <c r="D151" s="15">
        <f>SUM(Q151:S151)</f>
        <v>32787911</v>
      </c>
      <c r="E151" s="15"/>
      <c r="F151" s="15"/>
      <c r="G151" s="15">
        <f>ROUND(SUM(C151:F151)/2,0)</f>
        <v>29836148</v>
      </c>
      <c r="H151" s="72"/>
      <c r="I151" s="15">
        <f>(M151+Q151)/2</f>
        <v>0</v>
      </c>
      <c r="J151" s="15">
        <f>(N151+R151)/2</f>
        <v>7278216.5</v>
      </c>
      <c r="K151" s="15">
        <f>(O151+S151)/2</f>
        <v>22557931</v>
      </c>
      <c r="L151" s="72"/>
      <c r="M151" s="81">
        <v>0</v>
      </c>
      <c r="N151" s="81">
        <f>2817000+3813055</f>
        <v>6630055</v>
      </c>
      <c r="O151" s="81">
        <f>7835007+4830993+7588329</f>
        <v>20254329</v>
      </c>
      <c r="P151" s="72"/>
      <c r="Q151" s="81">
        <v>0</v>
      </c>
      <c r="R151" s="81">
        <v>7926378</v>
      </c>
      <c r="S151" s="81">
        <v>24861533</v>
      </c>
      <c r="T151" s="4"/>
    </row>
    <row r="152" spans="1:20" ht="14.25">
      <c r="A152" s="17">
        <f t="shared" si="20"/>
        <v>136</v>
      </c>
      <c r="B152" s="35" t="s">
        <v>113</v>
      </c>
      <c r="C152" s="81">
        <f>21020349-6734000-12521000</f>
        <v>1765349</v>
      </c>
      <c r="D152" s="81">
        <v>1465500</v>
      </c>
      <c r="E152" s="15">
        <f>-C152</f>
        <v>-1765349</v>
      </c>
      <c r="F152" s="15">
        <f>-D152</f>
        <v>-1465500</v>
      </c>
      <c r="G152" s="15">
        <f>ROUND(SUM(C152:F152)/2,0)</f>
        <v>0</v>
      </c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69"/>
      <c r="T152" s="4"/>
    </row>
    <row r="153" spans="1:19" ht="14.25">
      <c r="A153" s="17">
        <f t="shared" si="20"/>
        <v>137</v>
      </c>
      <c r="B153" s="3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69"/>
    </row>
    <row r="154" spans="1:19" ht="15" thickBot="1">
      <c r="A154" s="17">
        <f t="shared" si="20"/>
        <v>138</v>
      </c>
      <c r="B154" s="5" t="s">
        <v>114</v>
      </c>
      <c r="C154" s="18">
        <f>SUM(C148:C153)</f>
        <v>608129400.1899999</v>
      </c>
      <c r="D154" s="18">
        <f>SUM(D148:D153)</f>
        <v>574842158.84</v>
      </c>
      <c r="E154" s="18">
        <f>SUM(E148:E153)</f>
        <v>-72641779.79</v>
      </c>
      <c r="F154" s="18">
        <f>SUM(F148:F153)</f>
        <v>-53562206.489999995</v>
      </c>
      <c r="G154" s="18">
        <f>SUM(G148:G153)</f>
        <v>528383789</v>
      </c>
      <c r="H154" s="18"/>
      <c r="I154" s="18">
        <f>SUM(I148:I153)</f>
        <v>0</v>
      </c>
      <c r="J154" s="18">
        <f>SUM(J148:J153)</f>
        <v>33956687.2</v>
      </c>
      <c r="K154" s="18">
        <f>SUM(K148:K153)</f>
        <v>494427099.1750001</v>
      </c>
      <c r="L154" s="73" t="s">
        <v>67</v>
      </c>
      <c r="M154" s="18">
        <f>SUM(M148:M153)</f>
        <v>0</v>
      </c>
      <c r="N154" s="18">
        <f>SUM(N148:N153)</f>
        <v>42223909.77</v>
      </c>
      <c r="O154" s="18">
        <f>SUM(O148:O153)</f>
        <v>493263710.62999994</v>
      </c>
      <c r="P154" s="73" t="s">
        <v>67</v>
      </c>
      <c r="Q154" s="18">
        <f>SUM(Q148:Q153)</f>
        <v>0</v>
      </c>
      <c r="R154" s="18">
        <f>SUM(R148:R153)</f>
        <v>25689464.63</v>
      </c>
      <c r="S154" s="18">
        <f>SUM(S148:S153)</f>
        <v>495590487.71999985</v>
      </c>
    </row>
    <row r="155" spans="1:19" ht="15" thickTop="1">
      <c r="A155" s="17">
        <f t="shared" si="20"/>
        <v>139</v>
      </c>
      <c r="B155" s="4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5"/>
      <c r="Q155" s="71"/>
      <c r="R155" s="19"/>
      <c r="S155" s="19"/>
    </row>
    <row r="156" spans="1:19" ht="14.25">
      <c r="A156" s="17">
        <f t="shared" si="20"/>
        <v>140</v>
      </c>
      <c r="B156" s="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69"/>
      <c r="R156" s="15"/>
      <c r="S156" s="15"/>
    </row>
    <row r="157" spans="1:19" ht="14.25">
      <c r="A157" s="17">
        <f t="shared" si="20"/>
        <v>141</v>
      </c>
      <c r="B157" s="5" t="s">
        <v>115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69"/>
      <c r="R157" s="15"/>
      <c r="S157" s="15"/>
    </row>
    <row r="158" spans="1:19" ht="14.25">
      <c r="A158" s="17">
        <f t="shared" si="20"/>
        <v>142</v>
      </c>
      <c r="B158" s="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69"/>
      <c r="R158" s="15"/>
      <c r="S158" s="15"/>
    </row>
    <row r="159" spans="1:19" ht="14.25">
      <c r="A159" s="17">
        <f t="shared" si="20"/>
        <v>143</v>
      </c>
      <c r="B159" s="5" t="s">
        <v>116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69"/>
      <c r="R159" s="15"/>
      <c r="S159" s="15"/>
    </row>
    <row r="160" spans="1:19" ht="14.25">
      <c r="A160" s="17">
        <f t="shared" si="20"/>
        <v>144</v>
      </c>
      <c r="B160" s="4"/>
      <c r="C160" s="15"/>
      <c r="D160" s="22"/>
      <c r="E160" s="22"/>
      <c r="F160" s="22"/>
      <c r="G160" s="22"/>
      <c r="H160" s="22"/>
      <c r="I160" s="22"/>
      <c r="J160" s="22"/>
      <c r="K160" s="22"/>
      <c r="L160" s="22"/>
      <c r="M160" s="15"/>
      <c r="N160" s="15"/>
      <c r="O160" s="15"/>
      <c r="P160" s="15"/>
      <c r="Q160" s="69"/>
      <c r="R160" s="15"/>
      <c r="S160" s="15"/>
    </row>
    <row r="161" spans="1:19" ht="14.25">
      <c r="A161" s="17">
        <f t="shared" si="20"/>
        <v>145</v>
      </c>
      <c r="B161" s="5" t="s">
        <v>117</v>
      </c>
      <c r="C161" s="15"/>
      <c r="D161" s="22"/>
      <c r="E161" s="22"/>
      <c r="F161" s="22"/>
      <c r="G161" s="22"/>
      <c r="H161" s="22"/>
      <c r="I161" s="22"/>
      <c r="J161" s="22"/>
      <c r="K161" s="22"/>
      <c r="L161" s="22"/>
      <c r="M161" s="15"/>
      <c r="N161" s="15"/>
      <c r="O161" s="15"/>
      <c r="P161" s="15"/>
      <c r="Q161" s="69"/>
      <c r="R161" s="15"/>
      <c r="S161" s="15"/>
    </row>
    <row r="162" spans="1:19" ht="14.25">
      <c r="A162" s="17">
        <f t="shared" si="20"/>
        <v>146</v>
      </c>
      <c r="B162" s="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4.25">
      <c r="A163" s="17">
        <f t="shared" si="20"/>
        <v>147</v>
      </c>
      <c r="B163" s="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4.25">
      <c r="A164" s="17">
        <f t="shared" si="20"/>
        <v>148</v>
      </c>
      <c r="B164" s="14" t="s">
        <v>118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4.25">
      <c r="A165" s="17">
        <f t="shared" si="20"/>
        <v>149</v>
      </c>
      <c r="B165" s="14" t="s">
        <v>119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4.25">
      <c r="A166" s="17">
        <f t="shared" si="20"/>
        <v>150</v>
      </c>
      <c r="B166" s="3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4.25">
      <c r="A167" s="17">
        <f t="shared" si="20"/>
        <v>151</v>
      </c>
      <c r="B167" s="3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4.25">
      <c r="A168" s="17">
        <f t="shared" si="20"/>
        <v>152</v>
      </c>
      <c r="B168" s="3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4.25">
      <c r="A169" s="17">
        <f t="shared" si="20"/>
        <v>153</v>
      </c>
      <c r="B169" s="35" t="s">
        <v>453</v>
      </c>
      <c r="C169" s="15">
        <f>SUM(M169:O169)</f>
        <v>164574</v>
      </c>
      <c r="D169" s="15">
        <f>SUM(Q169:S169)</f>
        <v>67402</v>
      </c>
      <c r="E169" s="15"/>
      <c r="F169" s="15"/>
      <c r="G169" s="15">
        <f>ROUND(SUM(C169:F169)/2,0)</f>
        <v>115988</v>
      </c>
      <c r="H169" s="15"/>
      <c r="I169" s="15">
        <f>(+M169+Q169)/2</f>
        <v>0</v>
      </c>
      <c r="J169" s="15">
        <f>(+N169+R169)/2</f>
        <v>60992</v>
      </c>
      <c r="K169" s="15">
        <f>(+O169+S169)/2</f>
        <v>54996</v>
      </c>
      <c r="L169" s="15"/>
      <c r="M169" s="15">
        <v>0</v>
      </c>
      <c r="N169" s="15">
        <v>90780</v>
      </c>
      <c r="O169" s="15">
        <v>73794</v>
      </c>
      <c r="P169" s="15"/>
      <c r="Q169" s="15">
        <v>0</v>
      </c>
      <c r="R169" s="15">
        <v>31204</v>
      </c>
      <c r="S169" s="15">
        <v>36198</v>
      </c>
    </row>
    <row r="170" spans="1:19" ht="14.25">
      <c r="A170" s="17">
        <f t="shared" si="20"/>
        <v>154</v>
      </c>
      <c r="B170" s="3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4.25">
      <c r="A171" s="17">
        <f t="shared" si="20"/>
        <v>155</v>
      </c>
      <c r="B171" s="66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4.25">
      <c r="A172" s="17">
        <f t="shared" si="20"/>
        <v>156</v>
      </c>
      <c r="B172" s="14" t="s">
        <v>122</v>
      </c>
      <c r="C172" s="18">
        <f>SUM(C166:C171)</f>
        <v>164574</v>
      </c>
      <c r="D172" s="18">
        <f>SUM(D166:D171)</f>
        <v>67402</v>
      </c>
      <c r="E172" s="18">
        <f>SUM(E166:E171)</f>
        <v>0</v>
      </c>
      <c r="F172" s="18">
        <f>SUM(F166:F171)</f>
        <v>0</v>
      </c>
      <c r="G172" s="18">
        <f>SUM(G166:G171)</f>
        <v>115988</v>
      </c>
      <c r="H172" s="18"/>
      <c r="I172" s="18">
        <f>SUM(I166:I171)</f>
        <v>0</v>
      </c>
      <c r="J172" s="18">
        <f>SUM(J166:J171)</f>
        <v>60992</v>
      </c>
      <c r="K172" s="18">
        <f>SUM(K166:K171)</f>
        <v>54996</v>
      </c>
      <c r="L172" s="18"/>
      <c r="M172" s="18">
        <f>SUM(M166:M171)</f>
        <v>0</v>
      </c>
      <c r="N172" s="18">
        <f>SUM(N166:N171)</f>
        <v>90780</v>
      </c>
      <c r="O172" s="18">
        <f>SUM(O166:O171)</f>
        <v>73794</v>
      </c>
      <c r="P172" s="15"/>
      <c r="Q172" s="18">
        <f>SUM(Q166:Q171)</f>
        <v>0</v>
      </c>
      <c r="R172" s="18">
        <f>SUM(R166:R171)</f>
        <v>31204</v>
      </c>
      <c r="S172" s="18">
        <f>SUM(S166:S171)</f>
        <v>36198</v>
      </c>
    </row>
  </sheetData>
  <sheetProtection/>
  <printOptions/>
  <pageMargins left="0.75" right="0" top="0.73" bottom="0.55" header="0" footer="0"/>
  <pageSetup horizontalDpi="600" verticalDpi="600" orientation="portrait" scale="70" r:id="rId1"/>
  <headerFooter alignWithMargins="0">
    <oddHeader>&amp;RSTATEMENT AF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s632389</cp:lastModifiedBy>
  <dcterms:created xsi:type="dcterms:W3CDTF">2013-05-16T19:54:18Z</dcterms:created>
  <dcterms:modified xsi:type="dcterms:W3CDTF">2015-05-26T13:59:10Z</dcterms:modified>
  <cp:category/>
  <cp:version/>
  <cp:contentType/>
  <cp:contentStatus/>
</cp:coreProperties>
</file>